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042387\AppData\Local\Microsoft\Windows\INetCache\Content.Outlook\OCZ1J7RP\"/>
    </mc:Choice>
  </mc:AlternateContent>
  <xr:revisionPtr revIDLastSave="0" documentId="8_{763B3E72-F24A-44F4-9CBD-32B2595D255D}" xr6:coauthVersionLast="47" xr6:coauthVersionMax="47" xr10:uidLastSave="{00000000-0000-0000-0000-000000000000}"/>
  <bookViews>
    <workbookView xWindow="-28920" yWindow="-1680" windowWidth="29040" windowHeight="16440" xr2:uid="{00000000-000D-0000-FFFF-FFFF00000000}"/>
  </bookViews>
  <sheets>
    <sheet name="Response" sheetId="1" r:id="rId1"/>
    <sheet name="Dat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" l="1"/>
  <c r="B88" i="1"/>
  <c r="C88" i="1"/>
  <c r="D88" i="1"/>
  <c r="E88" i="1"/>
  <c r="F88" i="1"/>
  <c r="G88" i="1"/>
  <c r="H88" i="1"/>
  <c r="I88" i="1"/>
  <c r="J88" i="1"/>
  <c r="K88" i="1"/>
  <c r="L88" i="1"/>
  <c r="M88" i="1"/>
  <c r="O88" i="1"/>
  <c r="P88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12" i="1"/>
  <c r="T83" i="2"/>
  <c r="T79" i="2"/>
  <c r="T34" i="2"/>
  <c r="T64" i="2"/>
  <c r="T48" i="2"/>
  <c r="Q55" i="2"/>
  <c r="S76" i="2"/>
  <c r="S75" i="2"/>
  <c r="O73" i="2"/>
  <c r="S73" i="2"/>
  <c r="O34" i="2"/>
  <c r="S34" i="2"/>
  <c r="O70" i="2"/>
  <c r="S70" i="2"/>
  <c r="O68" i="2"/>
  <c r="S68" i="2"/>
  <c r="N67" i="2"/>
  <c r="S67" i="2"/>
  <c r="O66" i="2"/>
  <c r="S66" i="2"/>
  <c r="N65" i="2"/>
  <c r="S65" i="2"/>
  <c r="O64" i="2"/>
  <c r="S57" i="2"/>
  <c r="S56" i="2"/>
  <c r="O55" i="2"/>
  <c r="S55" i="2"/>
  <c r="N53" i="2"/>
  <c r="S53" i="2"/>
  <c r="O51" i="2"/>
  <c r="N51" i="2"/>
  <c r="S51" i="2"/>
  <c r="S50" i="2"/>
  <c r="O50" i="2"/>
  <c r="O48" i="2"/>
  <c r="O44" i="2"/>
  <c r="S44" i="2"/>
  <c r="S41" i="2"/>
  <c r="S39" i="2"/>
  <c r="S29" i="2"/>
  <c r="S28" i="2"/>
  <c r="O26" i="2"/>
  <c r="S26" i="2"/>
  <c r="O24" i="2"/>
  <c r="S24" i="2"/>
  <c r="S21" i="2"/>
  <c r="L20" i="2"/>
  <c r="U20" i="2"/>
  <c r="G20" i="2"/>
  <c r="K20" i="2"/>
  <c r="D20" i="2"/>
  <c r="E20" i="2"/>
  <c r="G18" i="2"/>
  <c r="J18" i="2"/>
  <c r="D18" i="2"/>
  <c r="E18" i="2"/>
  <c r="G83" i="2"/>
  <c r="E83" i="2"/>
  <c r="D16" i="2"/>
  <c r="E16" i="2"/>
  <c r="U16" i="2" s="1"/>
  <c r="G15" i="2"/>
  <c r="J15" i="2"/>
  <c r="I15" i="2"/>
  <c r="L15" i="2"/>
  <c r="K15" i="2"/>
  <c r="D15" i="2"/>
  <c r="E15" i="2"/>
  <c r="U15" i="2" s="1"/>
  <c r="S15" i="2"/>
  <c r="F15" i="2"/>
  <c r="H15" i="2"/>
  <c r="M15" i="2"/>
  <c r="I14" i="2"/>
  <c r="E14" i="2"/>
  <c r="O14" i="2"/>
  <c r="G13" i="2"/>
  <c r="J13" i="2"/>
  <c r="I13" i="2"/>
  <c r="L13" i="2"/>
  <c r="K13" i="2"/>
  <c r="D13" i="2"/>
  <c r="E13" i="2"/>
  <c r="O13" i="2"/>
  <c r="N13" i="2"/>
  <c r="S13" i="2"/>
  <c r="G12" i="2"/>
  <c r="L12" i="2"/>
  <c r="D12" i="2"/>
  <c r="U12" i="2" s="1"/>
  <c r="E12" i="2"/>
  <c r="L11" i="2"/>
  <c r="D9" i="2"/>
  <c r="G9" i="2"/>
  <c r="L9" i="2"/>
  <c r="K9" i="2"/>
  <c r="E9" i="2"/>
  <c r="O9" i="2"/>
  <c r="Q81" i="2"/>
  <c r="F79" i="2"/>
  <c r="U79" i="2" s="1"/>
  <c r="F78" i="2"/>
  <c r="F76" i="2"/>
  <c r="F75" i="2"/>
  <c r="F73" i="2"/>
  <c r="F72" i="2"/>
  <c r="F71" i="2"/>
  <c r="F70" i="2"/>
  <c r="F68" i="2"/>
  <c r="F67" i="2"/>
  <c r="F65" i="2"/>
  <c r="F64" i="2"/>
  <c r="F63" i="2"/>
  <c r="F62" i="2"/>
  <c r="F61" i="2"/>
  <c r="F60" i="2"/>
  <c r="F58" i="2"/>
  <c r="F57" i="2"/>
  <c r="F55" i="2"/>
  <c r="F54" i="2"/>
  <c r="F53" i="2"/>
  <c r="F52" i="2"/>
  <c r="F51" i="2"/>
  <c r="F50" i="2"/>
  <c r="F49" i="2"/>
  <c r="F48" i="2"/>
  <c r="F45" i="2"/>
  <c r="F44" i="2"/>
  <c r="F43" i="2"/>
  <c r="F41" i="2"/>
  <c r="F39" i="2"/>
  <c r="F38" i="2"/>
  <c r="F36" i="2"/>
  <c r="F34" i="2"/>
  <c r="F33" i="2"/>
  <c r="F32" i="2"/>
  <c r="F31" i="2"/>
  <c r="F29" i="2"/>
  <c r="F28" i="2"/>
  <c r="F27" i="2"/>
  <c r="F26" i="2"/>
  <c r="F25" i="2"/>
  <c r="F24" i="2"/>
  <c r="F23" i="2"/>
  <c r="F22" i="2"/>
  <c r="F21" i="2"/>
  <c r="F13" i="2"/>
  <c r="F12" i="2"/>
  <c r="F83" i="2"/>
  <c r="H76" i="2"/>
  <c r="H75" i="2"/>
  <c r="H73" i="2"/>
  <c r="U73" i="2" s="1"/>
  <c r="H72" i="2"/>
  <c r="H68" i="2"/>
  <c r="H67" i="2"/>
  <c r="H66" i="2"/>
  <c r="H65" i="2"/>
  <c r="H63" i="2"/>
  <c r="H61" i="2"/>
  <c r="H60" i="2"/>
  <c r="H57" i="2"/>
  <c r="H55" i="2"/>
  <c r="H53" i="2"/>
  <c r="H51" i="2"/>
  <c r="H50" i="2"/>
  <c r="H48" i="2"/>
  <c r="H46" i="2"/>
  <c r="H45" i="2"/>
  <c r="H44" i="2"/>
  <c r="H41" i="2"/>
  <c r="H39" i="2"/>
  <c r="H38" i="2"/>
  <c r="H34" i="2"/>
  <c r="H31" i="2"/>
  <c r="H29" i="2"/>
  <c r="H28" i="2"/>
  <c r="H26" i="2"/>
  <c r="H24" i="2"/>
  <c r="H21" i="2"/>
  <c r="R81" i="2"/>
  <c r="M34" i="2"/>
  <c r="P34" i="2"/>
  <c r="P81" i="2" s="1"/>
  <c r="T81" i="2"/>
  <c r="B83" i="2"/>
  <c r="B62" i="2"/>
  <c r="B34" i="2"/>
  <c r="B72" i="2"/>
  <c r="U72" i="2" s="1"/>
  <c r="Q88" i="1" l="1"/>
  <c r="N88" i="1"/>
  <c r="L81" i="2"/>
  <c r="N81" i="2"/>
  <c r="I81" i="2"/>
  <c r="S81" i="2"/>
  <c r="J81" i="2"/>
  <c r="M81" i="2"/>
  <c r="K81" i="2"/>
  <c r="K85" i="2" s="1"/>
  <c r="E81" i="2"/>
  <c r="O81" i="2"/>
  <c r="G81" i="2"/>
  <c r="D81" i="2"/>
  <c r="U83" i="2"/>
  <c r="F81" i="2"/>
  <c r="H81" i="2"/>
  <c r="B17" i="2"/>
  <c r="U6" i="2"/>
  <c r="U7" i="2"/>
  <c r="U8" i="2"/>
  <c r="U9" i="2"/>
  <c r="U10" i="2"/>
  <c r="U11" i="2"/>
  <c r="U13" i="2"/>
  <c r="U14" i="2"/>
  <c r="U18" i="2"/>
  <c r="U19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4" i="2"/>
  <c r="U75" i="2"/>
  <c r="U76" i="2"/>
  <c r="U77" i="2"/>
  <c r="U78" i="2"/>
  <c r="U5" i="2"/>
  <c r="U17" i="2" l="1"/>
  <c r="U81" i="2" s="1"/>
  <c r="B81" i="2"/>
  <c r="B85" i="2" s="1"/>
</calcChain>
</file>

<file path=xl/sharedStrings.xml><?xml version="1.0" encoding="utf-8"?>
<sst xmlns="http://schemas.openxmlformats.org/spreadsheetml/2006/main" count="239" uniqueCount="130">
  <si>
    <t>FOI 23-114 Nursing Agency Costs per Agency &amp; Hospital Site</t>
  </si>
  <si>
    <t>6 Months - August 2022 - January 2023</t>
  </si>
  <si>
    <t>Expenditure August - January 2022/23</t>
  </si>
  <si>
    <t>9AND LTD TA NURSES ON CALL</t>
  </si>
  <si>
    <t>ACUMEN CARE SERVICES LTD</t>
  </si>
  <si>
    <t>ALLIED &amp; CLINICAL RECRUITMENTS LTD</t>
  </si>
  <si>
    <t>ALTRIX TECHNOLOGY LTD</t>
  </si>
  <si>
    <t>ASA MEDICAL SOLUTIONS LTD</t>
  </si>
  <si>
    <t xml:space="preserve">ASPECT HEALTHCARE </t>
  </si>
  <si>
    <t>BLUESTONES MEDICAL</t>
  </si>
  <si>
    <t>CAPITAL STAFFING SERVICES LTD</t>
  </si>
  <si>
    <t>CARE PROVIDERS RECRUITMENT LTD</t>
  </si>
  <si>
    <t>CHESTER HEALTHCARE LTD TA JANE LEWIS NURSING AGENCY</t>
  </si>
  <si>
    <t xml:space="preserve">CLINICAL EMPLOYMENT SERVICES LTD T/A CES LOCUMS </t>
  </si>
  <si>
    <t>CONCEPT CARE SOLUTIONS LTD</t>
  </si>
  <si>
    <t>CROMWELL MEDICAL STAFFING</t>
  </si>
  <si>
    <t>DAY WEBSTER LTD</t>
  </si>
  <si>
    <t>DAYTIME HEALTHCARE RECRUITMENT LTD</t>
  </si>
  <si>
    <t>DIRECT HEALTHCARE 24 LTD</t>
  </si>
  <si>
    <t>DIRECT NURSING SERVICES LTD</t>
  </si>
  <si>
    <t>DRC LOCUMS</t>
  </si>
  <si>
    <t>ELEVENTH HOUR GROUP LTD</t>
  </si>
  <si>
    <t xml:space="preserve"> EMERGENCY PERSONNEL LTD </t>
  </si>
  <si>
    <t>ENFERM MEDICAL LTD</t>
  </si>
  <si>
    <t xml:space="preserve"> GLOBE LOCUMS LIMITED </t>
  </si>
  <si>
    <t>GOLD STAFF RECRUITMENT LTD</t>
  </si>
  <si>
    <t>HEALTHCARE RECRUITERS LTD</t>
  </si>
  <si>
    <t xml:space="preserve">HOOP NURSING </t>
  </si>
  <si>
    <t xml:space="preserve">HSA LOCUMS LTD </t>
  </si>
  <si>
    <t>ID MEDICAL</t>
  </si>
  <si>
    <t xml:space="preserve"> IMMEDIATE MEDICAL SOLUTIONS LTD </t>
  </si>
  <si>
    <t>INDEPENDENT CLINICAL SERVICES LTD TA THORNBURY NURSING SERVICES</t>
  </si>
  <si>
    <t xml:space="preserve"> INSYNC CORPORATE HEALTHCARE LTD </t>
  </si>
  <si>
    <t>INTERACT MEDICAL LTD</t>
  </si>
  <si>
    <t>KEEN THINKING LTD T/A SIMPLICITY</t>
  </si>
  <si>
    <t>LOCUM PLACEMENT GROUP LTD</t>
  </si>
  <si>
    <t>M RECRUITMENT LTD</t>
  </si>
  <si>
    <t>MCMILLAN HEALTHCARE LTD</t>
  </si>
  <si>
    <t>MED TEAM PRIMARY CARE SERVICES LTD</t>
  </si>
  <si>
    <t>MEDACS HEALTHCARE PLC</t>
  </si>
  <si>
    <t>MEDICAL STAFFING LTD</t>
  </si>
  <si>
    <t>MEDICSPRO LTD</t>
  </si>
  <si>
    <t>MEDILINK CONSULTING LTD</t>
  </si>
  <si>
    <t>MEDLOCUMS RECRUITMENT LTD</t>
  </si>
  <si>
    <t xml:space="preserve"> MIND RECRUITMENT GROUP LIMITED </t>
  </si>
  <si>
    <t>MPS HEALTHCARE LTD</t>
  </si>
  <si>
    <t>MSL HEALTHCARE LTD</t>
  </si>
  <si>
    <t>MYLOCUM LTD</t>
  </si>
  <si>
    <t>NEXT STEP NURSING LTD</t>
  </si>
  <si>
    <t>NISI ENTERPRISES LTD</t>
  </si>
  <si>
    <t>NUTRIX PERSONNEL LTD</t>
  </si>
  <si>
    <t>PLAN B HEALTHCARE LTD</t>
  </si>
  <si>
    <t>PRESTO NURSING LTD</t>
  </si>
  <si>
    <t xml:space="preserve">PRN PEOPLE LTD </t>
  </si>
  <si>
    <t>PRO NURSING HEALTHCARE LTD</t>
  </si>
  <si>
    <t xml:space="preserve">PROCARE NURSING AGENCY LTD </t>
  </si>
  <si>
    <t>PROHEALTHCARE LTD</t>
  </si>
  <si>
    <t>PURE HEALTHCARE GROUP LTD</t>
  </si>
  <si>
    <t xml:space="preserve">QUBA SOLUTIONS LTD </t>
  </si>
  <si>
    <t>RANDSTAD CARE</t>
  </si>
  <si>
    <t>RED GROUP PERSONNEL LTD</t>
  </si>
  <si>
    <t>RICHMOND NURSING AGENCY LTD</t>
  </si>
  <si>
    <t>RMR RECRUITMENT LTD</t>
  </si>
  <si>
    <t>SEVEN RESOURCING LTD</t>
  </si>
  <si>
    <t xml:space="preserve">SEVERN ANGELS HEALTHCARE LTD </t>
  </si>
  <si>
    <t>SILVER BLUE SERVICES LTD T/A SPRINGDAY HEALTHCARE</t>
  </si>
  <si>
    <t>STAFFING PLUS LTD</t>
  </si>
  <si>
    <t>SWIIS UK LTD</t>
  </si>
  <si>
    <t>TOTAL ASSIST RECRUITMENT LTD</t>
  </si>
  <si>
    <t>VETRO HEALTH LTD</t>
  </si>
  <si>
    <t>WIMBORNE NURSING AGENCY LTD</t>
  </si>
  <si>
    <t xml:space="preserve">WORKFORCE EMPLOYMENT SOLUTIONS </t>
  </si>
  <si>
    <t>YOUR NURSE LTD</t>
  </si>
  <si>
    <t>YOUR WORLD RECRUITMENT LTD</t>
  </si>
  <si>
    <t>£</t>
  </si>
  <si>
    <t>RGH</t>
  </si>
  <si>
    <t>NHH</t>
  </si>
  <si>
    <t>GUH</t>
  </si>
  <si>
    <t>YYF</t>
  </si>
  <si>
    <t>County</t>
  </si>
  <si>
    <t>YAB</t>
  </si>
  <si>
    <t>YTC</t>
  </si>
  <si>
    <t>St Cadocs</t>
  </si>
  <si>
    <t>St Woolos</t>
  </si>
  <si>
    <t>Chepstow</t>
  </si>
  <si>
    <t>Maindiff</t>
  </si>
  <si>
    <t>Unknown</t>
  </si>
  <si>
    <t>LD Res</t>
  </si>
  <si>
    <t>Monnow Vale</t>
  </si>
  <si>
    <t>CRG HEALTHCARE &amp; MEDICAL STAFFING LTD (incl CASTLEROCK)</t>
  </si>
  <si>
    <t>THE PLACEMENT GROUP NURSING LTD (JUST NURSES)</t>
  </si>
  <si>
    <t>CHC</t>
  </si>
  <si>
    <t>Community</t>
  </si>
  <si>
    <t>Primary Care</t>
  </si>
  <si>
    <t xml:space="preserve">SANCTUM RECRUITMENT </t>
  </si>
  <si>
    <t xml:space="preserve">TRIPOD PARTNERS </t>
  </si>
  <si>
    <t xml:space="preserve">3. Please outline your spend for the last 6 months per agency broken down by hospital </t>
  </si>
  <si>
    <t>Royal</t>
  </si>
  <si>
    <t>Gwent</t>
  </si>
  <si>
    <t>Nevill</t>
  </si>
  <si>
    <t>Hall</t>
  </si>
  <si>
    <t>The</t>
  </si>
  <si>
    <t>Grange</t>
  </si>
  <si>
    <t>Ysbyty</t>
  </si>
  <si>
    <t>Ystrad</t>
  </si>
  <si>
    <t>Fawr</t>
  </si>
  <si>
    <t>Aneurin</t>
  </si>
  <si>
    <t>Bevan</t>
  </si>
  <si>
    <t>Ysbyty'r</t>
  </si>
  <si>
    <t>Tri</t>
  </si>
  <si>
    <t>Chwm</t>
  </si>
  <si>
    <t>St</t>
  </si>
  <si>
    <t>Cadocs</t>
  </si>
  <si>
    <t>Woolos</t>
  </si>
  <si>
    <t>Court</t>
  </si>
  <si>
    <t>Monnow</t>
  </si>
  <si>
    <t>Vale</t>
  </si>
  <si>
    <t>CHC /</t>
  </si>
  <si>
    <t>Community /</t>
  </si>
  <si>
    <t>Learning</t>
  </si>
  <si>
    <t>Disabilities</t>
  </si>
  <si>
    <t>Residential</t>
  </si>
  <si>
    <t>Unidentified</t>
  </si>
  <si>
    <t>Total</t>
  </si>
  <si>
    <t>Check (less Velindre incorrectly coded)</t>
  </si>
  <si>
    <t xml:space="preserve">INSYNC CORPORATE HEALTHCARE LTD </t>
  </si>
  <si>
    <t xml:space="preserve">IMMEDIATE MEDICAL SOLUTIONS LTD </t>
  </si>
  <si>
    <t xml:space="preserve">GLOBE LOCUMS LIMITED </t>
  </si>
  <si>
    <t xml:space="preserve">EMERGENCY PERSONNEL LTD </t>
  </si>
  <si>
    <t xml:space="preserve">MIND RECRUITMENT GROUP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</si>
</sst>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1" fillId="0" borderId="0" xfId="0" applyFont="1"/>
    <xf numFmtId="43" fontId="1" fillId="0" borderId="0" xfId="1" applyFont="1"/>
    <xf numFmtId="0" fontId="3" fillId="0" borderId="0" xfId="0" applyFont="1" applyAlignment="1">
      <alignment horizontal="center"/>
    </xf>
    <xf numFmtId="43" fontId="1" fillId="0" borderId="0" xfId="0" applyNumberFormat="1" applyFont="1"/>
    <xf numFmtId="43" fontId="1" fillId="0" borderId="0" xfId="1" applyFont="1" applyFill="1"/>
    <xf numFmtId="43" fontId="3" fillId="0" borderId="0" xfId="1" applyFont="1" applyFill="1" applyAlignment="1">
      <alignment horizontal="center"/>
    </xf>
    <xf numFmtId="43" fontId="1" fillId="0" borderId="1" xfId="1" applyFont="1" applyFill="1" applyBorder="1"/>
    <xf numFmtId="43" fontId="1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zoomScale="82" zoomScaleNormal="82" workbookViewId="0">
      <pane xSplit="1" ySplit="10" topLeftCell="B56" activePane="bottomRight" state="frozen"/>
      <selection pane="topRight" activeCell="B1" sqref="B1"/>
      <selection pane="bottomLeft" activeCell="A11" sqref="A11"/>
      <selection pane="bottomRight" activeCell="A54" sqref="A54"/>
    </sheetView>
  </sheetViews>
  <sheetFormatPr defaultRowHeight="15" x14ac:dyDescent="0.2"/>
  <cols>
    <col min="1" max="1" width="108" style="2" bestFit="1" customWidth="1"/>
    <col min="2" max="5" width="19.140625" style="2" bestFit="1" customWidth="1"/>
    <col min="6" max="7" width="16.5703125" style="2" bestFit="1" customWidth="1"/>
    <col min="8" max="8" width="15.140625" style="2" bestFit="1" customWidth="1"/>
    <col min="9" max="9" width="16.5703125" style="2" bestFit="1" customWidth="1"/>
    <col min="10" max="10" width="16.7109375" style="2" bestFit="1" customWidth="1"/>
    <col min="11" max="11" width="16.5703125" style="2" bestFit="1" customWidth="1"/>
    <col min="12" max="12" width="13.85546875" style="2" bestFit="1" customWidth="1"/>
    <col min="13" max="13" width="16.7109375" style="2" bestFit="1" customWidth="1"/>
    <col min="14" max="14" width="18.140625" style="2" bestFit="1" customWidth="1"/>
    <col min="15" max="15" width="16.7109375" style="2" bestFit="1" customWidth="1"/>
    <col min="16" max="16" width="16.85546875" style="2" bestFit="1" customWidth="1"/>
    <col min="17" max="17" width="20.5703125" style="2" bestFit="1" customWidth="1"/>
    <col min="18" max="16384" width="9.140625" style="2"/>
  </cols>
  <sheetData>
    <row r="1" spans="1:17" x14ac:dyDescent="0.2">
      <c r="A1" s="1" t="s">
        <v>0</v>
      </c>
    </row>
    <row r="3" spans="1:17" x14ac:dyDescent="0.2">
      <c r="A3" s="1" t="s">
        <v>1</v>
      </c>
    </row>
    <row r="5" spans="1:17" x14ac:dyDescent="0.2">
      <c r="A5" s="2" t="s">
        <v>96</v>
      </c>
    </row>
    <row r="7" spans="1:17" x14ac:dyDescent="0.2">
      <c r="E7" s="4" t="s">
        <v>103</v>
      </c>
      <c r="G7" s="4" t="s">
        <v>103</v>
      </c>
      <c r="H7" s="4" t="s">
        <v>108</v>
      </c>
      <c r="N7" s="4" t="s">
        <v>117</v>
      </c>
      <c r="O7" s="4" t="s">
        <v>119</v>
      </c>
    </row>
    <row r="8" spans="1:17" s="4" customFormat="1" x14ac:dyDescent="0.2">
      <c r="B8" s="4" t="s">
        <v>97</v>
      </c>
      <c r="C8" s="4" t="s">
        <v>99</v>
      </c>
      <c r="D8" s="4" t="s">
        <v>101</v>
      </c>
      <c r="E8" s="4" t="s">
        <v>104</v>
      </c>
      <c r="G8" s="4" t="s">
        <v>106</v>
      </c>
      <c r="H8" s="4" t="s">
        <v>109</v>
      </c>
      <c r="I8" s="4" t="s">
        <v>111</v>
      </c>
      <c r="J8" s="4" t="s">
        <v>111</v>
      </c>
      <c r="L8" s="4" t="s">
        <v>85</v>
      </c>
      <c r="M8" s="4" t="s">
        <v>115</v>
      </c>
      <c r="N8" s="4" t="s">
        <v>118</v>
      </c>
      <c r="O8" s="4" t="s">
        <v>120</v>
      </c>
    </row>
    <row r="9" spans="1:17" s="4" customFormat="1" x14ac:dyDescent="0.2">
      <c r="B9" s="4" t="s">
        <v>98</v>
      </c>
      <c r="C9" s="4" t="s">
        <v>100</v>
      </c>
      <c r="D9" s="4" t="s">
        <v>102</v>
      </c>
      <c r="E9" s="4" t="s">
        <v>105</v>
      </c>
      <c r="F9" s="4" t="s">
        <v>79</v>
      </c>
      <c r="G9" s="4" t="s">
        <v>107</v>
      </c>
      <c r="H9" s="4" t="s">
        <v>110</v>
      </c>
      <c r="I9" s="4" t="s">
        <v>112</v>
      </c>
      <c r="J9" s="4" t="s">
        <v>113</v>
      </c>
      <c r="K9" s="4" t="s">
        <v>84</v>
      </c>
      <c r="L9" s="4" t="s">
        <v>114</v>
      </c>
      <c r="M9" s="4" t="s">
        <v>116</v>
      </c>
      <c r="N9" s="4" t="s">
        <v>93</v>
      </c>
      <c r="O9" s="4" t="s">
        <v>121</v>
      </c>
      <c r="P9" s="4" t="s">
        <v>122</v>
      </c>
      <c r="Q9" s="4" t="s">
        <v>123</v>
      </c>
    </row>
    <row r="10" spans="1:17" s="4" customFormat="1" x14ac:dyDescent="0.2">
      <c r="B10" s="4" t="s">
        <v>74</v>
      </c>
      <c r="C10" s="4" t="s">
        <v>74</v>
      </c>
      <c r="D10" s="4" t="s">
        <v>74</v>
      </c>
      <c r="E10" s="4" t="s">
        <v>74</v>
      </c>
      <c r="F10" s="4" t="s">
        <v>74</v>
      </c>
      <c r="G10" s="4" t="s">
        <v>74</v>
      </c>
      <c r="H10" s="4" t="s">
        <v>74</v>
      </c>
      <c r="I10" s="4" t="s">
        <v>74</v>
      </c>
      <c r="J10" s="4" t="s">
        <v>74</v>
      </c>
      <c r="K10" s="4" t="s">
        <v>74</v>
      </c>
      <c r="L10" s="4" t="s">
        <v>74</v>
      </c>
      <c r="M10" s="4" t="s">
        <v>74</v>
      </c>
      <c r="N10" s="4" t="s">
        <v>74</v>
      </c>
      <c r="O10" s="4" t="s">
        <v>74</v>
      </c>
      <c r="P10" s="4" t="s">
        <v>74</v>
      </c>
      <c r="Q10" s="4" t="s">
        <v>74</v>
      </c>
    </row>
    <row r="12" spans="1:17" x14ac:dyDescent="0.2">
      <c r="A12" s="2" t="s">
        <v>3</v>
      </c>
      <c r="B12" s="3">
        <v>2</v>
      </c>
      <c r="C12" s="3">
        <v>48794.26</v>
      </c>
      <c r="D12" s="3">
        <v>23437.959999999985</v>
      </c>
      <c r="E12" s="3">
        <v>21555.05</v>
      </c>
      <c r="F12" s="3">
        <v>235.22</v>
      </c>
      <c r="G12" s="3"/>
      <c r="H12" s="3">
        <v>0</v>
      </c>
      <c r="I12" s="3">
        <v>81.680000000000007</v>
      </c>
      <c r="J12" s="3"/>
      <c r="K12" s="3"/>
      <c r="L12" s="3"/>
      <c r="M12" s="3"/>
      <c r="N12" s="5"/>
      <c r="O12" s="3"/>
      <c r="P12" s="3"/>
      <c r="Q12" s="5">
        <f>SUM(B12:P12)</f>
        <v>94106.169999999984</v>
      </c>
    </row>
    <row r="13" spans="1:17" x14ac:dyDescent="0.2">
      <c r="A13" s="2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  <c r="O13" s="3"/>
      <c r="P13" s="3">
        <v>5932.37</v>
      </c>
      <c r="Q13" s="5">
        <f t="shared" ref="Q13:Q76" si="0">SUM(B13:P13)</f>
        <v>5932.37</v>
      </c>
    </row>
    <row r="14" spans="1:17" x14ac:dyDescent="0.2">
      <c r="A14" s="2" t="s">
        <v>5</v>
      </c>
      <c r="B14" s="3">
        <v>229843.97</v>
      </c>
      <c r="C14" s="3">
        <v>44794.73</v>
      </c>
      <c r="D14" s="3">
        <v>52490.37</v>
      </c>
      <c r="E14" s="3">
        <v>78367.5</v>
      </c>
      <c r="F14" s="3">
        <v>25863.339999999993</v>
      </c>
      <c r="G14" s="3">
        <v>3773.51</v>
      </c>
      <c r="H14" s="3">
        <v>6651.0599999999995</v>
      </c>
      <c r="I14" s="3">
        <v>35133.180000000008</v>
      </c>
      <c r="J14" s="3">
        <v>12809.470000000005</v>
      </c>
      <c r="K14" s="3">
        <v>12419.51</v>
      </c>
      <c r="L14" s="3">
        <v>434.76</v>
      </c>
      <c r="M14" s="3">
        <v>2765.24</v>
      </c>
      <c r="N14" s="5"/>
      <c r="O14" s="3">
        <v>1714.94</v>
      </c>
      <c r="P14" s="3">
        <v>43035.9</v>
      </c>
      <c r="Q14" s="5">
        <f t="shared" si="0"/>
        <v>550097.48</v>
      </c>
    </row>
    <row r="15" spans="1:17" x14ac:dyDescent="0.2">
      <c r="A15" s="2" t="s">
        <v>6</v>
      </c>
      <c r="B15" s="3">
        <v>36758.85000000002</v>
      </c>
      <c r="C15" s="3">
        <v>75621.350000000006</v>
      </c>
      <c r="D15" s="3">
        <v>153212.86999999988</v>
      </c>
      <c r="E15" s="3">
        <v>18951.320000000007</v>
      </c>
      <c r="F15" s="3">
        <v>3698.7200000000003</v>
      </c>
      <c r="G15" s="3">
        <v>2696.3999999999996</v>
      </c>
      <c r="H15" s="3">
        <v>1036.1600000000001</v>
      </c>
      <c r="I15" s="3">
        <v>2785.2299999999996</v>
      </c>
      <c r="J15" s="3">
        <v>2486.4999999999995</v>
      </c>
      <c r="K15" s="3">
        <v>31562.990000000013</v>
      </c>
      <c r="L15" s="3"/>
      <c r="M15" s="3">
        <v>2082.33</v>
      </c>
      <c r="N15" s="5"/>
      <c r="O15" s="3"/>
      <c r="P15" s="3"/>
      <c r="Q15" s="5">
        <f t="shared" si="0"/>
        <v>330892.71999999986</v>
      </c>
    </row>
    <row r="16" spans="1:17" x14ac:dyDescent="0.2">
      <c r="A16" s="2" t="s">
        <v>7</v>
      </c>
      <c r="B16" s="3">
        <v>31217.49</v>
      </c>
      <c r="C16" s="3">
        <v>4937.21</v>
      </c>
      <c r="D16" s="3">
        <v>27356.37</v>
      </c>
      <c r="E16" s="3">
        <v>348.78</v>
      </c>
      <c r="F16" s="3">
        <v>2804.91</v>
      </c>
      <c r="G16" s="3">
        <v>1338.22</v>
      </c>
      <c r="H16" s="3"/>
      <c r="I16" s="3">
        <v>659.18000000000006</v>
      </c>
      <c r="J16" s="3">
        <v>1045.23</v>
      </c>
      <c r="K16" s="3">
        <v>4172.3100000000004</v>
      </c>
      <c r="L16" s="3"/>
      <c r="M16" s="3">
        <v>1336.1399999999999</v>
      </c>
      <c r="N16" s="5"/>
      <c r="O16" s="3"/>
      <c r="P16" s="3"/>
      <c r="Q16" s="5">
        <f t="shared" si="0"/>
        <v>75215.839999999997</v>
      </c>
    </row>
    <row r="17" spans="1:17" x14ac:dyDescent="0.2">
      <c r="A17" s="2" t="s">
        <v>8</v>
      </c>
      <c r="B17" s="3"/>
      <c r="C17" s="3"/>
      <c r="D17" s="3"/>
      <c r="E17" s="3">
        <v>-774.13</v>
      </c>
      <c r="F17" s="3"/>
      <c r="G17" s="3"/>
      <c r="H17" s="3"/>
      <c r="I17" s="3"/>
      <c r="J17" s="3"/>
      <c r="K17" s="3"/>
      <c r="L17" s="3"/>
      <c r="M17" s="3"/>
      <c r="N17" s="5"/>
      <c r="O17" s="3"/>
      <c r="P17" s="3"/>
      <c r="Q17" s="5">
        <f t="shared" si="0"/>
        <v>-774.13</v>
      </c>
    </row>
    <row r="18" spans="1:17" x14ac:dyDescent="0.2">
      <c r="A18" s="2" t="s">
        <v>9</v>
      </c>
      <c r="B18" s="3">
        <v>95391.299999999886</v>
      </c>
      <c r="C18" s="3">
        <v>39324.450000000012</v>
      </c>
      <c r="D18" s="3">
        <v>383779.62000000052</v>
      </c>
      <c r="E18" s="3">
        <v>60715.479999999952</v>
      </c>
      <c r="F18" s="3">
        <v>11772.489999999998</v>
      </c>
      <c r="G18" s="3">
        <v>5767.18</v>
      </c>
      <c r="H18" s="3">
        <v>2986.19</v>
      </c>
      <c r="I18" s="3">
        <v>15685.170000000004</v>
      </c>
      <c r="J18" s="3">
        <v>18540.990000000002</v>
      </c>
      <c r="K18" s="3">
        <v>49868.100000000013</v>
      </c>
      <c r="L18" s="3"/>
      <c r="M18" s="3">
        <v>590.88</v>
      </c>
      <c r="N18" s="5"/>
      <c r="O18" s="3">
        <v>31441.439999999984</v>
      </c>
      <c r="P18" s="3">
        <v>662.96</v>
      </c>
      <c r="Q18" s="5">
        <f t="shared" si="0"/>
        <v>716526.25000000023</v>
      </c>
    </row>
    <row r="19" spans="1:17" x14ac:dyDescent="0.2">
      <c r="A19" s="2" t="s">
        <v>10</v>
      </c>
      <c r="B19" s="3">
        <v>107687.22</v>
      </c>
      <c r="C19" s="3">
        <v>536.17999999999984</v>
      </c>
      <c r="D19" s="3">
        <v>12229.06</v>
      </c>
      <c r="E19" s="3">
        <v>41148.85</v>
      </c>
      <c r="F19" s="3">
        <v>1908.8500000000006</v>
      </c>
      <c r="G19" s="3"/>
      <c r="H19" s="3"/>
      <c r="I19" s="3"/>
      <c r="J19" s="3">
        <v>67732.709999999992</v>
      </c>
      <c r="K19" s="3">
        <v>2358.9100000000008</v>
      </c>
      <c r="L19" s="3"/>
      <c r="M19" s="3"/>
      <c r="N19" s="5"/>
      <c r="O19" s="3"/>
      <c r="P19" s="3"/>
      <c r="Q19" s="5">
        <f t="shared" si="0"/>
        <v>233601.78</v>
      </c>
    </row>
    <row r="20" spans="1:17" x14ac:dyDescent="0.2">
      <c r="A20" s="2" t="s">
        <v>11</v>
      </c>
      <c r="B20" s="3">
        <v>189763.81999999998</v>
      </c>
      <c r="C20" s="3">
        <v>99713.67</v>
      </c>
      <c r="D20" s="3">
        <v>302738.56</v>
      </c>
      <c r="E20" s="3">
        <v>70593.59</v>
      </c>
      <c r="F20" s="3">
        <v>47797.77</v>
      </c>
      <c r="G20" s="3">
        <v>12100.1</v>
      </c>
      <c r="H20" s="3">
        <v>19510.150000000001</v>
      </c>
      <c r="I20" s="3">
        <v>40511.729999999996</v>
      </c>
      <c r="J20" s="3">
        <v>33539.129999999997</v>
      </c>
      <c r="K20" s="3">
        <v>30537.64</v>
      </c>
      <c r="L20" s="3">
        <v>235.22</v>
      </c>
      <c r="M20" s="3">
        <v>6816.27</v>
      </c>
      <c r="N20" s="5">
        <v>675.6</v>
      </c>
      <c r="O20" s="3">
        <v>14766.510000000002</v>
      </c>
      <c r="P20" s="3">
        <v>719.16</v>
      </c>
      <c r="Q20" s="5">
        <f t="shared" si="0"/>
        <v>870018.92</v>
      </c>
    </row>
    <row r="21" spans="1:17" x14ac:dyDescent="0.2">
      <c r="A21" s="2" t="s">
        <v>12</v>
      </c>
      <c r="B21" s="3"/>
      <c r="C21" s="3">
        <v>7274.12</v>
      </c>
      <c r="D21" s="3">
        <v>2730.11</v>
      </c>
      <c r="E21" s="3">
        <v>5319.9000000000005</v>
      </c>
      <c r="F21" s="3"/>
      <c r="G21" s="3">
        <v>13250.02</v>
      </c>
      <c r="H21" s="3"/>
      <c r="I21" s="3"/>
      <c r="J21" s="3"/>
      <c r="K21" s="3"/>
      <c r="L21" s="3"/>
      <c r="M21" s="3">
        <v>17463.349999999999</v>
      </c>
      <c r="N21" s="5"/>
      <c r="O21" s="3"/>
      <c r="P21" s="3"/>
      <c r="Q21" s="5">
        <f t="shared" si="0"/>
        <v>46037.5</v>
      </c>
    </row>
    <row r="22" spans="1:17" x14ac:dyDescent="0.2">
      <c r="A22" s="2" t="s">
        <v>13</v>
      </c>
      <c r="B22" s="3">
        <v>45661.440000000002</v>
      </c>
      <c r="C22" s="3">
        <v>11516.690000000002</v>
      </c>
      <c r="D22" s="3">
        <v>5590.619999999999</v>
      </c>
      <c r="E22" s="3">
        <v>27134.649999999998</v>
      </c>
      <c r="F22" s="3">
        <v>289.91999999999996</v>
      </c>
      <c r="G22" s="3">
        <v>334.02</v>
      </c>
      <c r="H22" s="3">
        <v>326.27</v>
      </c>
      <c r="I22" s="3">
        <v>1489.6000000000001</v>
      </c>
      <c r="J22" s="3">
        <v>6347.24</v>
      </c>
      <c r="K22" s="3">
        <v>8005.62</v>
      </c>
      <c r="L22" s="3"/>
      <c r="M22" s="3"/>
      <c r="N22" s="5"/>
      <c r="O22" s="3">
        <v>2918.7599999999998</v>
      </c>
      <c r="P22" s="3"/>
      <c r="Q22" s="5">
        <f t="shared" si="0"/>
        <v>109614.83</v>
      </c>
    </row>
    <row r="23" spans="1:17" x14ac:dyDescent="0.2">
      <c r="A23" s="2" t="s">
        <v>14</v>
      </c>
      <c r="B23" s="3">
        <v>-192.84000000000003</v>
      </c>
      <c r="C23" s="3">
        <v>-3750.6</v>
      </c>
      <c r="D23" s="3">
        <v>20597.27</v>
      </c>
      <c r="E23" s="3"/>
      <c r="F23" s="3"/>
      <c r="G23" s="3"/>
      <c r="H23" s="3"/>
      <c r="I23" s="3"/>
      <c r="J23" s="3"/>
      <c r="K23" s="3"/>
      <c r="L23" s="3"/>
      <c r="M23" s="3">
        <v>-393.9</v>
      </c>
      <c r="N23" s="5"/>
      <c r="O23" s="3"/>
      <c r="P23" s="3"/>
      <c r="Q23" s="5">
        <f t="shared" si="0"/>
        <v>16259.930000000002</v>
      </c>
    </row>
    <row r="24" spans="1:17" x14ac:dyDescent="0.2">
      <c r="A24" s="2" t="s">
        <v>89</v>
      </c>
      <c r="B24" s="3">
        <v>-8324.32</v>
      </c>
      <c r="C24" s="3">
        <v>-348.78</v>
      </c>
      <c r="D24" s="3">
        <v>460.75</v>
      </c>
      <c r="E24" s="3"/>
      <c r="F24" s="3"/>
      <c r="G24" s="3"/>
      <c r="H24" s="3"/>
      <c r="I24" s="3"/>
      <c r="J24" s="3"/>
      <c r="K24" s="3"/>
      <c r="L24" s="3"/>
      <c r="M24" s="3"/>
      <c r="N24" s="5"/>
      <c r="O24" s="3"/>
      <c r="P24" s="3"/>
      <c r="Q24" s="5">
        <f t="shared" si="0"/>
        <v>-8212.35</v>
      </c>
    </row>
    <row r="25" spans="1:17" x14ac:dyDescent="0.2">
      <c r="A25" s="2" t="s">
        <v>15</v>
      </c>
      <c r="B25" s="3">
        <v>4941.07</v>
      </c>
      <c r="C25" s="3">
        <v>1093.77</v>
      </c>
      <c r="D25" s="3">
        <v>25493.77</v>
      </c>
      <c r="E25" s="3">
        <v>5546.41</v>
      </c>
      <c r="F25" s="3">
        <v>463.59</v>
      </c>
      <c r="G25" s="3">
        <v>536.24</v>
      </c>
      <c r="H25" s="3">
        <v>-434.74000000000007</v>
      </c>
      <c r="I25" s="3">
        <v>573.04999999999995</v>
      </c>
      <c r="J25" s="3">
        <v>961.98</v>
      </c>
      <c r="K25" s="3"/>
      <c r="L25" s="3"/>
      <c r="M25" s="3"/>
      <c r="N25" s="5"/>
      <c r="O25" s="3"/>
      <c r="P25" s="3"/>
      <c r="Q25" s="5">
        <f t="shared" si="0"/>
        <v>39175.140000000007</v>
      </c>
    </row>
    <row r="26" spans="1:17" x14ac:dyDescent="0.2">
      <c r="A26" s="2" t="s">
        <v>16</v>
      </c>
      <c r="B26" s="3">
        <v>463.59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  <c r="O26" s="3"/>
      <c r="P26" s="3"/>
      <c r="Q26" s="5">
        <f t="shared" si="0"/>
        <v>463.59</v>
      </c>
    </row>
    <row r="27" spans="1:17" x14ac:dyDescent="0.2">
      <c r="A27" s="2" t="s">
        <v>17</v>
      </c>
      <c r="B27" s="3">
        <v>79032.31</v>
      </c>
      <c r="C27" s="3">
        <v>1390.77</v>
      </c>
      <c r="D27" s="3">
        <v>84178.79</v>
      </c>
      <c r="E27" s="3">
        <v>20105.349999999999</v>
      </c>
      <c r="F27" s="3">
        <v>16315.169999999996</v>
      </c>
      <c r="G27" s="3">
        <v>2424.6799999999998</v>
      </c>
      <c r="H27" s="3">
        <v>2298.2599999999998</v>
      </c>
      <c r="I27" s="3">
        <v>22252.260000000002</v>
      </c>
      <c r="J27" s="3">
        <v>1392.2</v>
      </c>
      <c r="K27" s="3">
        <v>1036.1600000000001</v>
      </c>
      <c r="L27" s="3"/>
      <c r="M27" s="3"/>
      <c r="N27" s="5"/>
      <c r="O27" s="3"/>
      <c r="P27" s="3"/>
      <c r="Q27" s="5">
        <f t="shared" si="0"/>
        <v>230425.95</v>
      </c>
    </row>
    <row r="28" spans="1:17" x14ac:dyDescent="0.2">
      <c r="A28" s="2" t="s">
        <v>18</v>
      </c>
      <c r="B28" s="3">
        <v>24122.76000000002</v>
      </c>
      <c r="C28" s="3">
        <v>-134.15999999999985</v>
      </c>
      <c r="D28" s="3">
        <v>10650.109999999999</v>
      </c>
      <c r="E28" s="3">
        <v>7759.89</v>
      </c>
      <c r="F28" s="3">
        <v>1053.4899999999998</v>
      </c>
      <c r="G28" s="3">
        <v>939.26000000000033</v>
      </c>
      <c r="H28" s="3">
        <v>968.27</v>
      </c>
      <c r="I28" s="3">
        <v>14115.279999999997</v>
      </c>
      <c r="J28" s="3">
        <v>927.17999999999972</v>
      </c>
      <c r="K28" s="3"/>
      <c r="L28" s="3"/>
      <c r="M28" s="3"/>
      <c r="N28" s="5"/>
      <c r="O28" s="3">
        <v>435.42000000000007</v>
      </c>
      <c r="P28" s="3"/>
      <c r="Q28" s="5">
        <f t="shared" si="0"/>
        <v>60837.500000000015</v>
      </c>
    </row>
    <row r="29" spans="1:17" x14ac:dyDescent="0.2">
      <c r="A29" s="2" t="s">
        <v>19</v>
      </c>
      <c r="B29" s="3">
        <v>5210.6400000000003</v>
      </c>
      <c r="C29" s="3">
        <v>38487.909999999938</v>
      </c>
      <c r="D29" s="3">
        <v>15285.970000000001</v>
      </c>
      <c r="E29" s="3">
        <v>50084.26999999996</v>
      </c>
      <c r="F29" s="3">
        <v>298.89999999999998</v>
      </c>
      <c r="G29" s="3">
        <v>7450.6600000000008</v>
      </c>
      <c r="H29" s="3">
        <v>0</v>
      </c>
      <c r="I29" s="3">
        <v>240.88</v>
      </c>
      <c r="J29" s="3">
        <v>845.23</v>
      </c>
      <c r="K29" s="3"/>
      <c r="L29" s="3"/>
      <c r="M29" s="3"/>
      <c r="N29" s="5"/>
      <c r="O29" s="3"/>
      <c r="P29" s="3"/>
      <c r="Q29" s="5">
        <f t="shared" si="0"/>
        <v>117904.45999999989</v>
      </c>
    </row>
    <row r="30" spans="1:17" x14ac:dyDescent="0.2">
      <c r="A30" s="2" t="s">
        <v>20</v>
      </c>
      <c r="B30" s="3">
        <v>2431.9399999999996</v>
      </c>
      <c r="C30" s="3">
        <v>58015.979999999894</v>
      </c>
      <c r="D30" s="3">
        <v>15573.63</v>
      </c>
      <c r="E30" s="3">
        <v>518.08000000000004</v>
      </c>
      <c r="F30" s="3"/>
      <c r="G30" s="3"/>
      <c r="H30" s="3"/>
      <c r="I30" s="3"/>
      <c r="J30" s="3"/>
      <c r="K30" s="3"/>
      <c r="L30" s="3"/>
      <c r="M30" s="3"/>
      <c r="N30" s="5"/>
      <c r="O30" s="3"/>
      <c r="P30" s="3"/>
      <c r="Q30" s="5">
        <f t="shared" si="0"/>
        <v>76539.629999999903</v>
      </c>
    </row>
    <row r="31" spans="1:17" x14ac:dyDescent="0.2">
      <c r="A31" s="2" t="s">
        <v>21</v>
      </c>
      <c r="B31" s="3">
        <v>-9883.0500000000611</v>
      </c>
      <c r="C31" s="3">
        <v>-4702.38</v>
      </c>
      <c r="D31" s="3">
        <v>-38105.22</v>
      </c>
      <c r="E31" s="3">
        <v>17142.38</v>
      </c>
      <c r="F31" s="3">
        <v>-199.42000000000007</v>
      </c>
      <c r="G31" s="3">
        <v>-99.500000000000227</v>
      </c>
      <c r="H31" s="3">
        <v>266.02999999999986</v>
      </c>
      <c r="I31" s="3">
        <v>2302.0399999999991</v>
      </c>
      <c r="J31" s="3">
        <v>410.73000000000047</v>
      </c>
      <c r="K31" s="3">
        <v>11638.509999999993</v>
      </c>
      <c r="L31" s="3"/>
      <c r="M31" s="3">
        <v>31.899999999999977</v>
      </c>
      <c r="N31" s="5"/>
      <c r="O31" s="3">
        <v>1524.44</v>
      </c>
      <c r="P31" s="3"/>
      <c r="Q31" s="5">
        <f t="shared" si="0"/>
        <v>-19673.540000000063</v>
      </c>
    </row>
    <row r="32" spans="1:17" x14ac:dyDescent="0.2">
      <c r="A32" s="2" t="s">
        <v>128</v>
      </c>
      <c r="B32" s="3"/>
      <c r="C32" s="3"/>
      <c r="D32" s="3">
        <v>137.36000000000001</v>
      </c>
      <c r="E32" s="3"/>
      <c r="F32" s="3"/>
      <c r="G32" s="3"/>
      <c r="H32" s="3"/>
      <c r="I32" s="3"/>
      <c r="J32" s="3"/>
      <c r="K32" s="3"/>
      <c r="L32" s="3"/>
      <c r="M32" s="3"/>
      <c r="N32" s="5"/>
      <c r="O32" s="3"/>
      <c r="P32" s="3"/>
      <c r="Q32" s="5">
        <f t="shared" si="0"/>
        <v>137.36000000000001</v>
      </c>
    </row>
    <row r="33" spans="1:17" x14ac:dyDescent="0.2">
      <c r="A33" s="2" t="s">
        <v>23</v>
      </c>
      <c r="B33" s="3">
        <v>197659.31999999989</v>
      </c>
      <c r="C33" s="3">
        <v>161545.04999999946</v>
      </c>
      <c r="D33" s="3">
        <v>657536.38</v>
      </c>
      <c r="E33" s="3">
        <v>184918.61999999912</v>
      </c>
      <c r="F33" s="3">
        <v>8874.2899999999991</v>
      </c>
      <c r="G33" s="3">
        <v>5774.7099999999991</v>
      </c>
      <c r="H33" s="3">
        <v>1943.08</v>
      </c>
      <c r="I33" s="3">
        <v>11292.819999999998</v>
      </c>
      <c r="J33" s="3">
        <v>5540.2300000000014</v>
      </c>
      <c r="K33" s="3">
        <v>11088.870000000003</v>
      </c>
      <c r="L33" s="3"/>
      <c r="M33" s="3">
        <v>1115.23</v>
      </c>
      <c r="N33" s="5">
        <v>-19805.19000000049</v>
      </c>
      <c r="O33" s="3">
        <v>23013.510000000002</v>
      </c>
      <c r="P33" s="3"/>
      <c r="Q33" s="5">
        <f t="shared" si="0"/>
        <v>1250496.9199999983</v>
      </c>
    </row>
    <row r="34" spans="1:17" x14ac:dyDescent="0.2">
      <c r="A34" s="2" t="s">
        <v>127</v>
      </c>
      <c r="B34" s="3"/>
      <c r="C34" s="3"/>
      <c r="D34" s="3">
        <v>-425.79999999999995</v>
      </c>
      <c r="E34" s="3"/>
      <c r="F34" s="3"/>
      <c r="G34" s="3"/>
      <c r="H34" s="3"/>
      <c r="I34" s="3"/>
      <c r="J34" s="3"/>
      <c r="K34" s="3"/>
      <c r="L34" s="3"/>
      <c r="M34" s="3"/>
      <c r="N34" s="5"/>
      <c r="O34" s="3"/>
      <c r="P34" s="3"/>
      <c r="Q34" s="5">
        <f t="shared" si="0"/>
        <v>-425.79999999999995</v>
      </c>
    </row>
    <row r="35" spans="1:17" x14ac:dyDescent="0.2">
      <c r="A35" s="2" t="s">
        <v>25</v>
      </c>
      <c r="B35" s="3">
        <v>1010.3100000000086</v>
      </c>
      <c r="C35" s="3">
        <v>-430.11999999999949</v>
      </c>
      <c r="D35" s="3">
        <v>9176.5800000000017</v>
      </c>
      <c r="E35" s="3">
        <v>690.51000000000022</v>
      </c>
      <c r="F35" s="3">
        <v>3776.3700000000003</v>
      </c>
      <c r="G35" s="3">
        <v>199.48999999999978</v>
      </c>
      <c r="H35" s="3">
        <v>699.65000000000009</v>
      </c>
      <c r="I35" s="3">
        <v>5260.58</v>
      </c>
      <c r="J35" s="3">
        <v>373.51000000000022</v>
      </c>
      <c r="K35" s="3">
        <v>362.44</v>
      </c>
      <c r="L35" s="3"/>
      <c r="M35" s="3">
        <v>482.81999999999994</v>
      </c>
      <c r="N35" s="5"/>
      <c r="O35" s="3">
        <v>9537.0800000000017</v>
      </c>
      <c r="P35" s="3"/>
      <c r="Q35" s="5">
        <f t="shared" si="0"/>
        <v>31139.220000000012</v>
      </c>
    </row>
    <row r="36" spans="1:17" x14ac:dyDescent="0.2">
      <c r="A36" s="2" t="s">
        <v>26</v>
      </c>
      <c r="B36" s="3">
        <v>5798.7999999999665</v>
      </c>
      <c r="C36" s="3">
        <v>-2539.7900000000081</v>
      </c>
      <c r="D36" s="3">
        <v>-2613.8600000000006</v>
      </c>
      <c r="E36" s="3">
        <v>1551.5</v>
      </c>
      <c r="F36" s="3">
        <v>-1957.5900000000001</v>
      </c>
      <c r="G36" s="3">
        <v>49.239999999999782</v>
      </c>
      <c r="H36" s="3">
        <v>-127.28999999999996</v>
      </c>
      <c r="I36" s="3">
        <v>2422.9699999999984</v>
      </c>
      <c r="J36" s="3">
        <v>-410.76000000000022</v>
      </c>
      <c r="K36" s="3">
        <v>-913.85999999999956</v>
      </c>
      <c r="L36" s="3"/>
      <c r="M36" s="3"/>
      <c r="N36" s="5"/>
      <c r="O36" s="3">
        <v>64.840000000000146</v>
      </c>
      <c r="P36" s="3">
        <v>289.92</v>
      </c>
      <c r="Q36" s="5">
        <f t="shared" si="0"/>
        <v>1614.1199999999562</v>
      </c>
    </row>
    <row r="37" spans="1:17" x14ac:dyDescent="0.2">
      <c r="A37" s="2" t="s">
        <v>27</v>
      </c>
      <c r="B37" s="3">
        <v>-4873.66</v>
      </c>
      <c r="C37" s="3">
        <v>-18034.780000000002</v>
      </c>
      <c r="D37" s="3">
        <v>-7658.0599999999995</v>
      </c>
      <c r="E37" s="3">
        <v>-1403.3300000000002</v>
      </c>
      <c r="F37" s="3"/>
      <c r="G37" s="3">
        <v>-730.19999999999982</v>
      </c>
      <c r="H37" s="3">
        <v>0</v>
      </c>
      <c r="I37" s="3">
        <v>0</v>
      </c>
      <c r="J37" s="3">
        <v>-391.47</v>
      </c>
      <c r="K37" s="3">
        <v>-1337.9700000000003</v>
      </c>
      <c r="L37" s="3"/>
      <c r="M37" s="3"/>
      <c r="N37" s="5"/>
      <c r="O37" s="3"/>
      <c r="P37" s="3"/>
      <c r="Q37" s="5">
        <f t="shared" si="0"/>
        <v>-34429.47</v>
      </c>
    </row>
    <row r="38" spans="1:17" x14ac:dyDescent="0.2">
      <c r="A38" s="2" t="s">
        <v>28</v>
      </c>
      <c r="B38" s="3">
        <v>-1102.2900000000004</v>
      </c>
      <c r="C38" s="3"/>
      <c r="D38" s="3">
        <v>-1417.7400000000007</v>
      </c>
      <c r="E38" s="3"/>
      <c r="F38" s="3">
        <v>-1.999999999998181E-2</v>
      </c>
      <c r="G38" s="3"/>
      <c r="H38" s="3"/>
      <c r="I38" s="3"/>
      <c r="J38" s="3"/>
      <c r="K38" s="3"/>
      <c r="L38" s="3"/>
      <c r="M38" s="3"/>
      <c r="N38" s="5"/>
      <c r="O38" s="3"/>
      <c r="P38" s="3"/>
      <c r="Q38" s="5">
        <f t="shared" si="0"/>
        <v>-2520.0500000000011</v>
      </c>
    </row>
    <row r="39" spans="1:17" x14ac:dyDescent="0.2">
      <c r="A39" s="2" t="s">
        <v>29</v>
      </c>
      <c r="B39" s="3">
        <v>-5190.4599999999973</v>
      </c>
      <c r="C39" s="3">
        <v>18897.47</v>
      </c>
      <c r="D39" s="3">
        <v>87243.41</v>
      </c>
      <c r="E39" s="3">
        <v>2419.06</v>
      </c>
      <c r="F39" s="3">
        <v>-536.24</v>
      </c>
      <c r="G39" s="3"/>
      <c r="H39" s="3"/>
      <c r="I39" s="3"/>
      <c r="J39" s="3"/>
      <c r="K39" s="3"/>
      <c r="L39" s="3"/>
      <c r="M39" s="3"/>
      <c r="N39" s="5"/>
      <c r="O39" s="3"/>
      <c r="P39" s="3"/>
      <c r="Q39" s="5">
        <f t="shared" si="0"/>
        <v>102833.24</v>
      </c>
    </row>
    <row r="40" spans="1:17" x14ac:dyDescent="0.2">
      <c r="A40" s="2" t="s">
        <v>126</v>
      </c>
      <c r="B40" s="3">
        <v>6013.2700000000013</v>
      </c>
      <c r="C40" s="3">
        <v>0</v>
      </c>
      <c r="D40" s="3">
        <v>4625.5</v>
      </c>
      <c r="E40" s="3">
        <v>1979.4199999999998</v>
      </c>
      <c r="F40" s="3">
        <v>518.08000000000004</v>
      </c>
      <c r="G40" s="3"/>
      <c r="H40" s="3">
        <v>643.49</v>
      </c>
      <c r="I40" s="3">
        <v>3104.77</v>
      </c>
      <c r="J40" s="3">
        <v>463.59</v>
      </c>
      <c r="K40" s="3"/>
      <c r="L40" s="3"/>
      <c r="M40" s="3"/>
      <c r="N40" s="5"/>
      <c r="O40" s="3"/>
      <c r="P40" s="3"/>
      <c r="Q40" s="5">
        <f t="shared" si="0"/>
        <v>17348.12</v>
      </c>
    </row>
    <row r="41" spans="1:17" x14ac:dyDescent="0.2">
      <c r="A41" s="2" t="s">
        <v>31</v>
      </c>
      <c r="B41" s="3">
        <v>84954.1</v>
      </c>
      <c r="C41" s="3">
        <v>85366.799999999959</v>
      </c>
      <c r="D41" s="3">
        <v>295803.62</v>
      </c>
      <c r="E41" s="3">
        <v>147353.39999999994</v>
      </c>
      <c r="F41" s="3">
        <v>108046.13</v>
      </c>
      <c r="G41" s="3">
        <v>144064.84000000005</v>
      </c>
      <c r="H41" s="3">
        <v>6054.5999999999995</v>
      </c>
      <c r="I41" s="3">
        <v>285844.42999999988</v>
      </c>
      <c r="J41" s="3">
        <v>98926.219999999987</v>
      </c>
      <c r="K41" s="3">
        <v>115645.75</v>
      </c>
      <c r="L41" s="3">
        <v>464.69</v>
      </c>
      <c r="M41" s="3">
        <v>12660.77</v>
      </c>
      <c r="N41" s="5">
        <v>786.05000000000007</v>
      </c>
      <c r="O41" s="3">
        <v>12921.08</v>
      </c>
      <c r="P41" s="3">
        <v>23116.1</v>
      </c>
      <c r="Q41" s="5">
        <f t="shared" si="0"/>
        <v>1422008.58</v>
      </c>
    </row>
    <row r="42" spans="1:17" x14ac:dyDescent="0.2">
      <c r="A42" s="2" t="s">
        <v>125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5"/>
      <c r="O42" s="3"/>
      <c r="P42" s="3">
        <v>-1267.2</v>
      </c>
      <c r="Q42" s="5">
        <f t="shared" si="0"/>
        <v>-1267.2</v>
      </c>
    </row>
    <row r="43" spans="1:17" x14ac:dyDescent="0.2">
      <c r="A43" s="2" t="s">
        <v>33</v>
      </c>
      <c r="B43" s="3">
        <v>10306.46000000001</v>
      </c>
      <c r="C43" s="3">
        <v>2064.2000000000003</v>
      </c>
      <c r="D43" s="3">
        <v>28575.829999999998</v>
      </c>
      <c r="E43" s="3">
        <v>463.59</v>
      </c>
      <c r="F43" s="3"/>
      <c r="G43" s="3"/>
      <c r="H43" s="3"/>
      <c r="I43" s="3"/>
      <c r="J43" s="3"/>
      <c r="K43" s="3"/>
      <c r="L43" s="3"/>
      <c r="M43" s="3"/>
      <c r="N43" s="5"/>
      <c r="O43" s="3"/>
      <c r="P43" s="3"/>
      <c r="Q43" s="5">
        <f t="shared" si="0"/>
        <v>41410.080000000002</v>
      </c>
    </row>
    <row r="44" spans="1:17" x14ac:dyDescent="0.2">
      <c r="A44" s="2" t="s">
        <v>34</v>
      </c>
      <c r="B44" s="3">
        <v>9998.1399999999976</v>
      </c>
      <c r="C44" s="3">
        <v>5306.3000000000011</v>
      </c>
      <c r="D44" s="3">
        <v>5316.49</v>
      </c>
      <c r="E44" s="3">
        <v>418.28</v>
      </c>
      <c r="F44" s="3">
        <v>284.74</v>
      </c>
      <c r="G44" s="3">
        <v>209.14</v>
      </c>
      <c r="H44" s="3"/>
      <c r="I44" s="3"/>
      <c r="J44" s="3"/>
      <c r="K44" s="3"/>
      <c r="L44" s="3"/>
      <c r="M44" s="3"/>
      <c r="N44" s="5"/>
      <c r="O44" s="3">
        <v>209.14</v>
      </c>
      <c r="P44" s="3"/>
      <c r="Q44" s="5">
        <f t="shared" si="0"/>
        <v>21742.23</v>
      </c>
    </row>
    <row r="45" spans="1:17" x14ac:dyDescent="0.2">
      <c r="A45" s="2" t="s">
        <v>35</v>
      </c>
      <c r="B45" s="3">
        <v>11898.729999999994</v>
      </c>
      <c r="C45" s="3">
        <v>8869.44</v>
      </c>
      <c r="D45" s="3">
        <v>11518.05</v>
      </c>
      <c r="E45" s="3">
        <v>4722.6499999999996</v>
      </c>
      <c r="F45" s="3">
        <v>1260.1099999999999</v>
      </c>
      <c r="G45" s="3">
        <v>463.58999999999992</v>
      </c>
      <c r="H45" s="3">
        <v>334.02</v>
      </c>
      <c r="I45" s="3">
        <v>1542.92</v>
      </c>
      <c r="J45" s="3">
        <v>1622.24</v>
      </c>
      <c r="K45" s="3">
        <v>1494.4100000000003</v>
      </c>
      <c r="L45" s="3"/>
      <c r="M45" s="3">
        <v>1854.9699999999998</v>
      </c>
      <c r="N45" s="5"/>
      <c r="O45" s="3">
        <v>1503.98</v>
      </c>
      <c r="P45" s="3"/>
      <c r="Q45" s="5">
        <f t="shared" si="0"/>
        <v>47085.109999999993</v>
      </c>
    </row>
    <row r="46" spans="1:17" x14ac:dyDescent="0.2">
      <c r="A46" s="2" t="s">
        <v>36</v>
      </c>
      <c r="B46" s="3">
        <v>-5851.6400000002177</v>
      </c>
      <c r="C46" s="3">
        <v>-10551.900000000012</v>
      </c>
      <c r="D46" s="3">
        <v>-44623.289999999994</v>
      </c>
      <c r="E46" s="3">
        <v>7443.9199999999946</v>
      </c>
      <c r="F46" s="3">
        <v>434.76</v>
      </c>
      <c r="G46" s="3">
        <v>-752.48</v>
      </c>
      <c r="H46" s="3">
        <v>80.31</v>
      </c>
      <c r="I46" s="3">
        <v>-1873.5499999999997</v>
      </c>
      <c r="J46" s="3">
        <v>-152.61000000000035</v>
      </c>
      <c r="K46" s="3">
        <v>-735.18000000000006</v>
      </c>
      <c r="L46" s="3"/>
      <c r="M46" s="3"/>
      <c r="N46" s="5"/>
      <c r="O46" s="3">
        <v>1023.7200000000003</v>
      </c>
      <c r="P46" s="3"/>
      <c r="Q46" s="5">
        <f t="shared" si="0"/>
        <v>-55557.940000000228</v>
      </c>
    </row>
    <row r="47" spans="1:17" x14ac:dyDescent="0.2">
      <c r="A47" s="2" t="s">
        <v>37</v>
      </c>
      <c r="B47" s="3"/>
      <c r="C47" s="3">
        <v>630</v>
      </c>
      <c r="D47" s="3">
        <v>-548</v>
      </c>
      <c r="E47" s="3"/>
      <c r="F47" s="3"/>
      <c r="G47" s="3"/>
      <c r="H47" s="3"/>
      <c r="I47" s="3"/>
      <c r="J47" s="3"/>
      <c r="K47" s="3"/>
      <c r="L47" s="3"/>
      <c r="M47" s="3"/>
      <c r="N47" s="5"/>
      <c r="O47" s="3"/>
      <c r="P47" s="3"/>
      <c r="Q47" s="5">
        <f t="shared" si="0"/>
        <v>82</v>
      </c>
    </row>
    <row r="48" spans="1:17" x14ac:dyDescent="0.2">
      <c r="A48" s="2" t="s">
        <v>38</v>
      </c>
      <c r="B48" s="3">
        <v>-5015.92</v>
      </c>
      <c r="C48" s="3">
        <v>14726.479999999996</v>
      </c>
      <c r="D48" s="3">
        <v>3701.33</v>
      </c>
      <c r="E48" s="3">
        <v>1483.13</v>
      </c>
      <c r="F48" s="3">
        <v>-12.379999999999995</v>
      </c>
      <c r="G48" s="3">
        <v>-385.68000000000006</v>
      </c>
      <c r="H48" s="3">
        <v>643.49</v>
      </c>
      <c r="I48" s="3">
        <v>499.43</v>
      </c>
      <c r="J48" s="3"/>
      <c r="K48" s="3"/>
      <c r="L48" s="3"/>
      <c r="M48" s="3"/>
      <c r="N48" s="5"/>
      <c r="O48" s="3">
        <v>1395.02</v>
      </c>
      <c r="P48" s="3">
        <v>20647.339999999993</v>
      </c>
      <c r="Q48" s="5">
        <f t="shared" si="0"/>
        <v>37682.239999999991</v>
      </c>
    </row>
    <row r="49" spans="1:17" x14ac:dyDescent="0.2">
      <c r="A49" s="2" t="s">
        <v>39</v>
      </c>
      <c r="B49" s="3"/>
      <c r="C49" s="3"/>
      <c r="D49" s="3">
        <v>-645.39</v>
      </c>
      <c r="E49" s="3"/>
      <c r="F49" s="3"/>
      <c r="G49" s="3"/>
      <c r="H49" s="3"/>
      <c r="I49" s="3"/>
      <c r="J49" s="3"/>
      <c r="K49" s="3"/>
      <c r="L49" s="3"/>
      <c r="M49" s="3"/>
      <c r="N49" s="5"/>
      <c r="O49" s="3"/>
      <c r="P49" s="3"/>
      <c r="Q49" s="5">
        <f t="shared" si="0"/>
        <v>-645.39</v>
      </c>
    </row>
    <row r="50" spans="1:17" x14ac:dyDescent="0.2">
      <c r="A50" s="2" t="s">
        <v>40</v>
      </c>
      <c r="B50" s="3">
        <v>-169.28999999999996</v>
      </c>
      <c r="C50" s="3">
        <v>-1458</v>
      </c>
      <c r="D50" s="3">
        <v>34.230000000000473</v>
      </c>
      <c r="E50" s="3"/>
      <c r="F50" s="3"/>
      <c r="G50" s="3"/>
      <c r="H50" s="3"/>
      <c r="I50" s="3"/>
      <c r="J50" s="3"/>
      <c r="K50" s="3">
        <v>-2445.09</v>
      </c>
      <c r="L50" s="3"/>
      <c r="M50" s="3"/>
      <c r="N50" s="5"/>
      <c r="O50" s="3"/>
      <c r="P50" s="3"/>
      <c r="Q50" s="5">
        <f t="shared" si="0"/>
        <v>-4038.1499999999996</v>
      </c>
    </row>
    <row r="51" spans="1:17" x14ac:dyDescent="0.2">
      <c r="A51" s="2" t="s">
        <v>41</v>
      </c>
      <c r="B51" s="3">
        <v>136959.48999999958</v>
      </c>
      <c r="C51" s="3">
        <v>65887.699999999691</v>
      </c>
      <c r="D51" s="3">
        <v>448957.23000000004</v>
      </c>
      <c r="E51" s="3">
        <v>56707.549999999886</v>
      </c>
      <c r="F51" s="3">
        <v>10141.709999999999</v>
      </c>
      <c r="G51" s="3">
        <v>5562.1100000000006</v>
      </c>
      <c r="H51" s="3">
        <v>3021.24</v>
      </c>
      <c r="I51" s="3">
        <v>41898.119999999952</v>
      </c>
      <c r="J51" s="3">
        <v>8327.56</v>
      </c>
      <c r="K51" s="3">
        <v>24349.279999999981</v>
      </c>
      <c r="L51" s="3"/>
      <c r="M51" s="3">
        <v>29240.799999999999</v>
      </c>
      <c r="N51" s="5">
        <v>507.84000000000003</v>
      </c>
      <c r="O51" s="3">
        <v>1303.08</v>
      </c>
      <c r="P51" s="3">
        <v>3173.4300000000003</v>
      </c>
      <c r="Q51" s="5">
        <f t="shared" si="0"/>
        <v>836037.13999999932</v>
      </c>
    </row>
    <row r="52" spans="1:17" x14ac:dyDescent="0.2">
      <c r="A52" s="2" t="s">
        <v>42</v>
      </c>
      <c r="B52" s="3">
        <v>-45081.830000000438</v>
      </c>
      <c r="C52" s="3">
        <v>-424.51999999999316</v>
      </c>
      <c r="D52" s="3">
        <v>-8272.6899999999987</v>
      </c>
      <c r="E52" s="3">
        <v>-7.9999999999998295E-2</v>
      </c>
      <c r="F52" s="3">
        <v>499.35999999999996</v>
      </c>
      <c r="G52" s="3">
        <v>-7.2000000000000455</v>
      </c>
      <c r="H52" s="3">
        <v>0</v>
      </c>
      <c r="I52" s="3">
        <v>-261.77999999999997</v>
      </c>
      <c r="J52" s="3">
        <v>84.720000000000027</v>
      </c>
      <c r="K52" s="3">
        <v>-1522.9999999999893</v>
      </c>
      <c r="L52" s="3"/>
      <c r="M52" s="3"/>
      <c r="N52" s="5"/>
      <c r="O52" s="3"/>
      <c r="P52" s="3"/>
      <c r="Q52" s="5">
        <f t="shared" si="0"/>
        <v>-54987.020000000419</v>
      </c>
    </row>
    <row r="53" spans="1:17" x14ac:dyDescent="0.2">
      <c r="A53" s="2" t="s">
        <v>43</v>
      </c>
      <c r="B53" s="3"/>
      <c r="C53" s="3">
        <v>-927.18</v>
      </c>
      <c r="D53" s="3">
        <v>-1453.79</v>
      </c>
      <c r="E53" s="3">
        <v>6.7000000000000455</v>
      </c>
      <c r="F53" s="3">
        <v>0</v>
      </c>
      <c r="G53" s="3">
        <v>0</v>
      </c>
      <c r="H53" s="3">
        <v>0</v>
      </c>
      <c r="I53" s="3">
        <v>9.9999999999909051E-3</v>
      </c>
      <c r="J53" s="3">
        <v>-13.120000000000005</v>
      </c>
      <c r="K53" s="3"/>
      <c r="L53" s="3"/>
      <c r="M53" s="3"/>
      <c r="N53" s="5"/>
      <c r="O53" s="3"/>
      <c r="P53" s="3"/>
      <c r="Q53" s="5">
        <f t="shared" si="0"/>
        <v>-2387.3799999999992</v>
      </c>
    </row>
    <row r="54" spans="1:17" x14ac:dyDescent="0.2">
      <c r="A54" s="2" t="s">
        <v>129</v>
      </c>
      <c r="B54" s="3">
        <v>-1800</v>
      </c>
      <c r="C54" s="3"/>
      <c r="D54" s="3">
        <v>-6000</v>
      </c>
      <c r="E54" s="3"/>
      <c r="F54" s="3"/>
      <c r="G54" s="3"/>
      <c r="H54" s="3"/>
      <c r="I54" s="3"/>
      <c r="J54" s="3"/>
      <c r="K54" s="3"/>
      <c r="L54" s="3"/>
      <c r="M54" s="3"/>
      <c r="N54" s="5"/>
      <c r="O54" s="3"/>
      <c r="P54" s="3"/>
      <c r="Q54" s="5">
        <f t="shared" si="0"/>
        <v>-7800</v>
      </c>
    </row>
    <row r="55" spans="1:17" x14ac:dyDescent="0.2">
      <c r="A55" s="2" t="s">
        <v>45</v>
      </c>
      <c r="B55" s="3">
        <v>104674.92999999964</v>
      </c>
      <c r="C55" s="3">
        <v>106100.38999999962</v>
      </c>
      <c r="D55" s="3">
        <v>60846.43</v>
      </c>
      <c r="E55" s="3">
        <v>271890.84000000171</v>
      </c>
      <c r="F55" s="3">
        <v>36761.78</v>
      </c>
      <c r="G55" s="3">
        <v>73569.589999999851</v>
      </c>
      <c r="H55" s="3">
        <v>4490.1600000000008</v>
      </c>
      <c r="I55" s="3">
        <v>51146.899999999841</v>
      </c>
      <c r="J55" s="3">
        <v>84985.369999999835</v>
      </c>
      <c r="K55" s="3">
        <v>38876.159999999967</v>
      </c>
      <c r="L55" s="3"/>
      <c r="M55" s="3">
        <v>2048.29</v>
      </c>
      <c r="N55" s="5">
        <v>95364.889999999505</v>
      </c>
      <c r="O55" s="3"/>
      <c r="P55" s="3">
        <v>2876.89</v>
      </c>
      <c r="Q55" s="5">
        <f t="shared" si="0"/>
        <v>933632.62000000011</v>
      </c>
    </row>
    <row r="56" spans="1:17" x14ac:dyDescent="0.2">
      <c r="A56" s="2" t="s">
        <v>46</v>
      </c>
      <c r="B56" s="3">
        <v>13411.070000000018</v>
      </c>
      <c r="C56" s="3"/>
      <c r="D56" s="3">
        <v>-7708.0999999999995</v>
      </c>
      <c r="E56" s="3"/>
      <c r="F56" s="3"/>
      <c r="G56" s="3">
        <v>433.29</v>
      </c>
      <c r="H56" s="3"/>
      <c r="I56" s="3"/>
      <c r="J56" s="3"/>
      <c r="K56" s="3"/>
      <c r="L56" s="3"/>
      <c r="M56" s="3"/>
      <c r="N56" s="5"/>
      <c r="O56" s="3"/>
      <c r="P56" s="3"/>
      <c r="Q56" s="5">
        <f t="shared" si="0"/>
        <v>6136.2600000000184</v>
      </c>
    </row>
    <row r="57" spans="1:17" x14ac:dyDescent="0.2">
      <c r="A57" s="2" t="s">
        <v>47</v>
      </c>
      <c r="B57" s="3">
        <v>543761.74000002909</v>
      </c>
      <c r="C57" s="3">
        <v>84234.669999999634</v>
      </c>
      <c r="D57" s="3">
        <v>114632.29999999999</v>
      </c>
      <c r="E57" s="3">
        <v>79617.56</v>
      </c>
      <c r="F57" s="3">
        <v>21065.87</v>
      </c>
      <c r="G57" s="3">
        <v>12836.710000000008</v>
      </c>
      <c r="H57" s="3">
        <v>11769.870000000006</v>
      </c>
      <c r="I57" s="3">
        <v>26343.379999999994</v>
      </c>
      <c r="J57" s="3">
        <v>53492.589999999778</v>
      </c>
      <c r="K57" s="3">
        <v>27174.739999999951</v>
      </c>
      <c r="L57" s="3"/>
      <c r="M57" s="3">
        <v>1244.18</v>
      </c>
      <c r="N57" s="5"/>
      <c r="O57" s="3">
        <v>45638.280000000006</v>
      </c>
      <c r="P57" s="3"/>
      <c r="Q57" s="5">
        <f t="shared" si="0"/>
        <v>1021811.8900000287</v>
      </c>
    </row>
    <row r="58" spans="1:17" x14ac:dyDescent="0.2">
      <c r="A58" s="2" t="s">
        <v>48</v>
      </c>
      <c r="B58" s="3">
        <v>231728.6100000008</v>
      </c>
      <c r="C58" s="3">
        <v>101795.22999999972</v>
      </c>
      <c r="D58" s="3">
        <v>263709.43</v>
      </c>
      <c r="E58" s="3">
        <v>65461.949999999793</v>
      </c>
      <c r="F58" s="3">
        <v>17223.57</v>
      </c>
      <c r="G58" s="3">
        <v>25781.239999999962</v>
      </c>
      <c r="H58" s="3">
        <v>8637.3499999999985</v>
      </c>
      <c r="I58" s="3">
        <v>27993.659999999989</v>
      </c>
      <c r="J58" s="3">
        <v>15046.900000000007</v>
      </c>
      <c r="K58" s="3">
        <v>5746.36</v>
      </c>
      <c r="L58" s="3">
        <v>53.430000000000007</v>
      </c>
      <c r="M58" s="3">
        <v>7566.25</v>
      </c>
      <c r="N58" s="5">
        <v>502051.28000000078</v>
      </c>
      <c r="O58" s="3">
        <v>17491.29</v>
      </c>
      <c r="P58" s="3"/>
      <c r="Q58" s="5">
        <f t="shared" si="0"/>
        <v>1290286.5500000012</v>
      </c>
    </row>
    <row r="59" spans="1:17" x14ac:dyDescent="0.2">
      <c r="A59" s="2" t="s">
        <v>49</v>
      </c>
      <c r="B59" s="3">
        <v>3355.8700000000003</v>
      </c>
      <c r="C59" s="3">
        <v>91032.459999999701</v>
      </c>
      <c r="D59" s="3">
        <v>43910.840000000004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5"/>
      <c r="O59" s="3"/>
      <c r="P59" s="3"/>
      <c r="Q59" s="5">
        <f t="shared" si="0"/>
        <v>138299.16999999969</v>
      </c>
    </row>
    <row r="60" spans="1:17" x14ac:dyDescent="0.2">
      <c r="A60" s="2" t="s">
        <v>50</v>
      </c>
      <c r="B60" s="3">
        <v>69640.669999999824</v>
      </c>
      <c r="C60" s="3">
        <v>46326.649999999972</v>
      </c>
      <c r="D60" s="3">
        <v>91543.110000000015</v>
      </c>
      <c r="E60" s="3">
        <v>45227.569999999949</v>
      </c>
      <c r="F60" s="3">
        <v>1669.1100000000006</v>
      </c>
      <c r="G60" s="3">
        <v>9043.86</v>
      </c>
      <c r="H60" s="3">
        <v>0</v>
      </c>
      <c r="I60" s="3">
        <v>-1401.15</v>
      </c>
      <c r="J60" s="3">
        <v>5397.0000000000009</v>
      </c>
      <c r="K60" s="3">
        <v>19975.009999999987</v>
      </c>
      <c r="L60" s="3">
        <v>44.170000000000016</v>
      </c>
      <c r="M60" s="3">
        <v>6352.0099999999993</v>
      </c>
      <c r="N60" s="5"/>
      <c r="O60" s="3">
        <v>-364.82</v>
      </c>
      <c r="P60" s="3"/>
      <c r="Q60" s="5">
        <f t="shared" si="0"/>
        <v>293453.18999999977</v>
      </c>
    </row>
    <row r="61" spans="1:17" x14ac:dyDescent="0.2">
      <c r="A61" s="2" t="s">
        <v>51</v>
      </c>
      <c r="B61" s="3">
        <v>-6514.92</v>
      </c>
      <c r="C61" s="3">
        <v>-2288.2200000000003</v>
      </c>
      <c r="D61" s="3">
        <v>-11079.47</v>
      </c>
      <c r="E61" s="3">
        <v>-921.42</v>
      </c>
      <c r="F61" s="3"/>
      <c r="G61" s="3">
        <v>-549.78</v>
      </c>
      <c r="H61" s="3"/>
      <c r="I61" s="3"/>
      <c r="J61" s="3"/>
      <c r="K61" s="3"/>
      <c r="L61" s="3"/>
      <c r="M61" s="3"/>
      <c r="N61" s="5"/>
      <c r="O61" s="3"/>
      <c r="P61" s="3"/>
      <c r="Q61" s="5">
        <f t="shared" si="0"/>
        <v>-21353.809999999998</v>
      </c>
    </row>
    <row r="62" spans="1:17" x14ac:dyDescent="0.2">
      <c r="A62" s="2" t="s">
        <v>52</v>
      </c>
      <c r="B62" s="3">
        <v>85394.930000000051</v>
      </c>
      <c r="C62" s="3">
        <v>31722.959999999999</v>
      </c>
      <c r="D62" s="3">
        <v>212258.36000000002</v>
      </c>
      <c r="E62" s="3">
        <v>56137.979999999996</v>
      </c>
      <c r="F62" s="3">
        <v>51967.06</v>
      </c>
      <c r="G62" s="3">
        <v>15579.829999999998</v>
      </c>
      <c r="H62" s="3">
        <v>245</v>
      </c>
      <c r="I62" s="3">
        <v>-3013.4799999999996</v>
      </c>
      <c r="J62" s="3">
        <v>10789.720000000001</v>
      </c>
      <c r="K62" s="3">
        <v>20805.199999999997</v>
      </c>
      <c r="L62" s="3"/>
      <c r="M62" s="3">
        <v>630</v>
      </c>
      <c r="N62" s="5">
        <v>-30</v>
      </c>
      <c r="O62" s="3">
        <v>-2600.25</v>
      </c>
      <c r="P62" s="3"/>
      <c r="Q62" s="5">
        <f t="shared" si="0"/>
        <v>479887.31000000011</v>
      </c>
    </row>
    <row r="63" spans="1:17" x14ac:dyDescent="0.2">
      <c r="A63" s="2" t="s">
        <v>53</v>
      </c>
      <c r="B63" s="3">
        <v>-21176.82</v>
      </c>
      <c r="C63" s="3">
        <v>-10012.689999999999</v>
      </c>
      <c r="D63" s="3">
        <v>-46311.790000000015</v>
      </c>
      <c r="E63" s="3">
        <v>-10700.860000000004</v>
      </c>
      <c r="F63" s="3">
        <v>124.84</v>
      </c>
      <c r="G63" s="3">
        <v>-1140.2700000000004</v>
      </c>
      <c r="H63" s="3">
        <v>-927.17999999999984</v>
      </c>
      <c r="I63" s="3">
        <v>-3108.3899999999985</v>
      </c>
      <c r="J63" s="3">
        <v>-2482.9699999999998</v>
      </c>
      <c r="K63" s="3">
        <v>-2684.2600000000007</v>
      </c>
      <c r="L63" s="3"/>
      <c r="M63" s="3">
        <v>472.62</v>
      </c>
      <c r="N63" s="5"/>
      <c r="O63" s="3">
        <v>-7103.1</v>
      </c>
      <c r="P63" s="3"/>
      <c r="Q63" s="5">
        <f t="shared" si="0"/>
        <v>-105050.87000000002</v>
      </c>
    </row>
    <row r="64" spans="1:17" x14ac:dyDescent="0.2">
      <c r="A64" s="2" t="s">
        <v>54</v>
      </c>
      <c r="B64" s="3">
        <v>68921.749999999724</v>
      </c>
      <c r="C64" s="3">
        <v>14749.890000000009</v>
      </c>
      <c r="D64" s="3">
        <v>14563.119999999999</v>
      </c>
      <c r="E64" s="3">
        <v>17989.599999999999</v>
      </c>
      <c r="F64" s="3">
        <v>837.04</v>
      </c>
      <c r="G64" s="3">
        <v>9353.6200000000026</v>
      </c>
      <c r="H64" s="3">
        <v>217.92</v>
      </c>
      <c r="I64" s="3">
        <v>22783.279999999999</v>
      </c>
      <c r="J64" s="3">
        <v>9022.570000000007</v>
      </c>
      <c r="K64" s="3">
        <v>6617.890000000004</v>
      </c>
      <c r="L64" s="3">
        <v>-256.13</v>
      </c>
      <c r="M64" s="3">
        <v>645.38</v>
      </c>
      <c r="N64" s="5"/>
      <c r="O64" s="3">
        <v>8033.83</v>
      </c>
      <c r="P64" s="3"/>
      <c r="Q64" s="5">
        <f t="shared" si="0"/>
        <v>173479.75999999975</v>
      </c>
    </row>
    <row r="65" spans="1:17" x14ac:dyDescent="0.2">
      <c r="A65" s="2" t="s">
        <v>55</v>
      </c>
      <c r="B65" s="3">
        <v>46.820000000000164</v>
      </c>
      <c r="C65" s="3"/>
      <c r="D65" s="3">
        <v>-1039.98</v>
      </c>
      <c r="E65" s="3"/>
      <c r="F65" s="3"/>
      <c r="G65" s="3"/>
      <c r="H65" s="3"/>
      <c r="I65" s="3">
        <v>985.66</v>
      </c>
      <c r="J65" s="3">
        <v>467.35999999999996</v>
      </c>
      <c r="K65" s="3"/>
      <c r="L65" s="3"/>
      <c r="M65" s="3"/>
      <c r="N65" s="5"/>
      <c r="O65" s="3"/>
      <c r="P65" s="3"/>
      <c r="Q65" s="5">
        <f t="shared" si="0"/>
        <v>459.86000000000007</v>
      </c>
    </row>
    <row r="66" spans="1:17" x14ac:dyDescent="0.2">
      <c r="A66" s="2" t="s">
        <v>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5"/>
      <c r="O66" s="3"/>
      <c r="P66" s="3">
        <v>4468.6499999999996</v>
      </c>
      <c r="Q66" s="5">
        <f t="shared" si="0"/>
        <v>4468.6499999999996</v>
      </c>
    </row>
    <row r="67" spans="1:17" x14ac:dyDescent="0.2">
      <c r="A67" s="2" t="s">
        <v>57</v>
      </c>
      <c r="B67" s="3">
        <v>59307.779999999722</v>
      </c>
      <c r="C67" s="3">
        <v>143251.89999999982</v>
      </c>
      <c r="D67" s="3">
        <v>53651.81</v>
      </c>
      <c r="E67" s="3">
        <v>18702.550000000003</v>
      </c>
      <c r="F67" s="3">
        <v>44002.28</v>
      </c>
      <c r="G67" s="3">
        <v>1805.1300000000006</v>
      </c>
      <c r="H67" s="3"/>
      <c r="I67" s="3">
        <v>8338.760000000002</v>
      </c>
      <c r="J67" s="3">
        <v>2638.59</v>
      </c>
      <c r="K67" s="3">
        <v>2430</v>
      </c>
      <c r="L67" s="3">
        <v>679.68</v>
      </c>
      <c r="M67" s="3"/>
      <c r="N67" s="5"/>
      <c r="O67" s="3"/>
      <c r="P67" s="3"/>
      <c r="Q67" s="5">
        <f t="shared" si="0"/>
        <v>334808.47999999952</v>
      </c>
    </row>
    <row r="68" spans="1:17" x14ac:dyDescent="0.2">
      <c r="A68" s="2" t="s">
        <v>58</v>
      </c>
      <c r="B68" s="3">
        <v>9472.59</v>
      </c>
      <c r="C68" s="3">
        <v>58015.639999999927</v>
      </c>
      <c r="D68" s="3">
        <v>15773.310000000001</v>
      </c>
      <c r="E68" s="3">
        <v>4183.63</v>
      </c>
      <c r="F68" s="3">
        <v>0</v>
      </c>
      <c r="G68" s="3">
        <v>765.32</v>
      </c>
      <c r="H68" s="3">
        <v>242.64</v>
      </c>
      <c r="I68" s="3">
        <v>1382.19</v>
      </c>
      <c r="J68" s="3">
        <v>1790.9499999999998</v>
      </c>
      <c r="K68" s="3">
        <v>27227.680000000022</v>
      </c>
      <c r="L68" s="3"/>
      <c r="M68" s="3"/>
      <c r="N68" s="5"/>
      <c r="O68" s="3"/>
      <c r="P68" s="3"/>
      <c r="Q68" s="5">
        <f t="shared" si="0"/>
        <v>118853.94999999995</v>
      </c>
    </row>
    <row r="69" spans="1:17" x14ac:dyDescent="0.2">
      <c r="A69" s="2" t="s">
        <v>59</v>
      </c>
      <c r="B69" s="3">
        <v>1803.3700000000003</v>
      </c>
      <c r="C69" s="3">
        <v>236.33999999999997</v>
      </c>
      <c r="D69" s="3">
        <v>-146.61000000000001</v>
      </c>
      <c r="E69" s="3">
        <v>1335.4199999999992</v>
      </c>
      <c r="F69" s="3"/>
      <c r="G69" s="3">
        <v>2626.7600000000007</v>
      </c>
      <c r="H69" s="3"/>
      <c r="I69" s="3">
        <v>-2.9900000000000091</v>
      </c>
      <c r="J69" s="3"/>
      <c r="K69" s="3"/>
      <c r="L69" s="3"/>
      <c r="M69" s="3"/>
      <c r="N69" s="5"/>
      <c r="O69" s="3"/>
      <c r="P69" s="3"/>
      <c r="Q69" s="5">
        <f t="shared" si="0"/>
        <v>5852.2900000000009</v>
      </c>
    </row>
    <row r="70" spans="1:17" x14ac:dyDescent="0.2">
      <c r="A70" s="2" t="s">
        <v>60</v>
      </c>
      <c r="B70" s="3">
        <v>-47.700000000001182</v>
      </c>
      <c r="C70" s="3"/>
      <c r="D70" s="3">
        <v>1355.83</v>
      </c>
      <c r="E70" s="3">
        <v>178.27999999999975</v>
      </c>
      <c r="F70" s="3">
        <v>0</v>
      </c>
      <c r="G70" s="3">
        <v>619.5</v>
      </c>
      <c r="H70" s="3"/>
      <c r="I70" s="3">
        <v>280.26</v>
      </c>
      <c r="J70" s="3"/>
      <c r="K70" s="3">
        <v>547.5200000000001</v>
      </c>
      <c r="L70" s="3"/>
      <c r="M70" s="3"/>
      <c r="N70" s="5"/>
      <c r="O70" s="3"/>
      <c r="P70" s="3"/>
      <c r="Q70" s="5">
        <f t="shared" si="0"/>
        <v>2933.6899999999982</v>
      </c>
    </row>
    <row r="71" spans="1:17" x14ac:dyDescent="0.2">
      <c r="A71" s="2" t="s">
        <v>61</v>
      </c>
      <c r="B71" s="3">
        <v>5292.5199999999995</v>
      </c>
      <c r="C71" s="3">
        <v>10973.629999999997</v>
      </c>
      <c r="D71" s="3">
        <v>47298.799999999996</v>
      </c>
      <c r="E71" s="3">
        <v>40581.390000000014</v>
      </c>
      <c r="F71" s="3"/>
      <c r="G71" s="3">
        <v>4882.93</v>
      </c>
      <c r="H71" s="3">
        <v>435.78999999999996</v>
      </c>
      <c r="I71" s="3">
        <v>1122.6699999999992</v>
      </c>
      <c r="J71" s="3">
        <v>1108.98</v>
      </c>
      <c r="K71" s="3"/>
      <c r="L71" s="3"/>
      <c r="M71" s="3">
        <v>36104.230000000003</v>
      </c>
      <c r="N71" s="5"/>
      <c r="O71" s="3">
        <v>-140.1</v>
      </c>
      <c r="P71" s="3">
        <v>30181.739999999998</v>
      </c>
      <c r="Q71" s="5">
        <f t="shared" si="0"/>
        <v>177842.58</v>
      </c>
    </row>
    <row r="72" spans="1:17" x14ac:dyDescent="0.2">
      <c r="A72" s="2" t="s">
        <v>62</v>
      </c>
      <c r="B72" s="3">
        <v>45026.76999999996</v>
      </c>
      <c r="C72" s="3">
        <v>6384.9500000000062</v>
      </c>
      <c r="D72" s="3">
        <v>62978.62000000001</v>
      </c>
      <c r="E72" s="3">
        <v>701.25</v>
      </c>
      <c r="F72" s="3">
        <v>2003.17</v>
      </c>
      <c r="G72" s="3">
        <v>2851.4800000000005</v>
      </c>
      <c r="H72" s="3">
        <v>113.55999999999995</v>
      </c>
      <c r="I72" s="3">
        <v>284.51000000000016</v>
      </c>
      <c r="J72" s="3">
        <v>1624.3300000000002</v>
      </c>
      <c r="K72" s="3">
        <v>8722.57</v>
      </c>
      <c r="L72" s="3">
        <v>-1.999999999998181E-2</v>
      </c>
      <c r="M72" s="3"/>
      <c r="N72" s="5"/>
      <c r="O72" s="3">
        <v>257.36</v>
      </c>
      <c r="P72" s="3"/>
      <c r="Q72" s="5">
        <f t="shared" si="0"/>
        <v>130948.54999999996</v>
      </c>
    </row>
    <row r="73" spans="1:17" x14ac:dyDescent="0.2">
      <c r="A73" s="2" t="s">
        <v>94</v>
      </c>
      <c r="B73" s="3">
        <v>2452.8000000000002</v>
      </c>
      <c r="C73" s="3">
        <v>1146.29</v>
      </c>
      <c r="D73" s="3">
        <v>495.46</v>
      </c>
      <c r="E73" s="3">
        <v>284.74</v>
      </c>
      <c r="F73" s="3">
        <v>1054</v>
      </c>
      <c r="G73" s="3">
        <v>472.97999999999996</v>
      </c>
      <c r="H73" s="3">
        <v>385.68</v>
      </c>
      <c r="I73" s="3">
        <v>6941.34</v>
      </c>
      <c r="J73" s="3">
        <v>105.36</v>
      </c>
      <c r="K73" s="3">
        <v>594.24</v>
      </c>
      <c r="L73" s="3"/>
      <c r="M73" s="3">
        <v>375.61</v>
      </c>
      <c r="N73" s="5"/>
      <c r="O73" s="3">
        <v>1174.04</v>
      </c>
      <c r="P73" s="3"/>
      <c r="Q73" s="5">
        <f t="shared" si="0"/>
        <v>15482.54</v>
      </c>
    </row>
    <row r="74" spans="1:17" x14ac:dyDescent="0.2">
      <c r="A74" s="2" t="s">
        <v>63</v>
      </c>
      <c r="B74" s="3">
        <v>61802.150000001529</v>
      </c>
      <c r="C74" s="3">
        <v>51743.550000000192</v>
      </c>
      <c r="D74" s="3">
        <v>81301.319999999978</v>
      </c>
      <c r="E74" s="3">
        <v>21455.899999999794</v>
      </c>
      <c r="F74" s="3">
        <v>3583.7099999999991</v>
      </c>
      <c r="G74" s="3">
        <v>4730.6399999999139</v>
      </c>
      <c r="H74" s="3">
        <v>1355.5500000000079</v>
      </c>
      <c r="I74" s="3">
        <v>19789.19000000001</v>
      </c>
      <c r="J74" s="3">
        <v>6699.849999999924</v>
      </c>
      <c r="K74" s="3">
        <v>10237.87000000001</v>
      </c>
      <c r="L74" s="3">
        <v>12.129999999999995</v>
      </c>
      <c r="M74" s="3"/>
      <c r="N74" s="5"/>
      <c r="O74" s="3">
        <v>20256.069999999992</v>
      </c>
      <c r="P74" s="3">
        <v>979.01</v>
      </c>
      <c r="Q74" s="5">
        <f t="shared" si="0"/>
        <v>283946.9400000014</v>
      </c>
    </row>
    <row r="75" spans="1:17" x14ac:dyDescent="0.2">
      <c r="A75" s="2" t="s">
        <v>64</v>
      </c>
      <c r="B75" s="3">
        <v>169557.55000000002</v>
      </c>
      <c r="C75" s="3">
        <v>125664.40999999971</v>
      </c>
      <c r="D75" s="3">
        <v>43676.14</v>
      </c>
      <c r="E75" s="3">
        <v>39504.899999999936</v>
      </c>
      <c r="F75" s="3">
        <v>18404.179999999997</v>
      </c>
      <c r="G75" s="3">
        <v>21282.029999999933</v>
      </c>
      <c r="H75" s="3">
        <v>8155.130000000001</v>
      </c>
      <c r="I75" s="3">
        <v>46931.23000000004</v>
      </c>
      <c r="J75" s="3">
        <v>26062.969999999968</v>
      </c>
      <c r="K75" s="3">
        <v>10468.320000000003</v>
      </c>
      <c r="L75" s="3">
        <v>256.11</v>
      </c>
      <c r="M75" s="3">
        <v>6183.53</v>
      </c>
      <c r="N75" s="5"/>
      <c r="O75" s="3">
        <v>18570.55</v>
      </c>
      <c r="P75" s="3"/>
      <c r="Q75" s="5">
        <f t="shared" si="0"/>
        <v>534717.04999999958</v>
      </c>
    </row>
    <row r="76" spans="1:17" x14ac:dyDescent="0.2">
      <c r="A76" s="2" t="s">
        <v>65</v>
      </c>
      <c r="B76" s="3"/>
      <c r="C76" s="3">
        <v>-105.36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5"/>
      <c r="O76" s="3"/>
      <c r="P76" s="3"/>
      <c r="Q76" s="5">
        <f t="shared" si="0"/>
        <v>-105.36</v>
      </c>
    </row>
    <row r="77" spans="1:17" x14ac:dyDescent="0.2">
      <c r="A77" s="2" t="s">
        <v>66</v>
      </c>
      <c r="B77" s="3">
        <v>109153.77999999966</v>
      </c>
      <c r="C77" s="3">
        <v>162982.13000000041</v>
      </c>
      <c r="D77" s="3">
        <v>-5264.2099999999991</v>
      </c>
      <c r="E77" s="3">
        <v>10420.040000000001</v>
      </c>
      <c r="F77" s="3">
        <v>192.84</v>
      </c>
      <c r="G77" s="3">
        <v>896.8400000000006</v>
      </c>
      <c r="H77" s="3">
        <v>217.92</v>
      </c>
      <c r="I77" s="3"/>
      <c r="J77" s="3">
        <v>3208.5899999999997</v>
      </c>
      <c r="K77" s="3">
        <v>7.0200000000004366</v>
      </c>
      <c r="L77" s="3"/>
      <c r="M77" s="3">
        <v>7.75</v>
      </c>
      <c r="N77" s="5">
        <v>878.76</v>
      </c>
      <c r="O77" s="3">
        <v>3818.57</v>
      </c>
      <c r="P77" s="3"/>
      <c r="Q77" s="5">
        <f t="shared" ref="Q77:Q86" si="1">SUM(B77:P77)</f>
        <v>286520.03000000014</v>
      </c>
    </row>
    <row r="78" spans="1:17" x14ac:dyDescent="0.2">
      <c r="A78" s="2" t="s">
        <v>67</v>
      </c>
      <c r="B78" s="3">
        <v>39787.579999999987</v>
      </c>
      <c r="C78" s="3">
        <v>8.040000000000191</v>
      </c>
      <c r="D78" s="3">
        <v>463031.15</v>
      </c>
      <c r="E78" s="3"/>
      <c r="F78" s="3"/>
      <c r="G78" s="3">
        <v>4940.5800000000008</v>
      </c>
      <c r="H78" s="3"/>
      <c r="I78" s="3"/>
      <c r="J78" s="3"/>
      <c r="K78" s="3">
        <v>27048.370000000014</v>
      </c>
      <c r="L78" s="3"/>
      <c r="M78" s="3"/>
      <c r="N78" s="5"/>
      <c r="O78" s="3"/>
      <c r="P78" s="3"/>
      <c r="Q78" s="5">
        <f t="shared" si="1"/>
        <v>534815.72000000009</v>
      </c>
    </row>
    <row r="79" spans="1:17" x14ac:dyDescent="0.2">
      <c r="A79" s="2" t="s">
        <v>90</v>
      </c>
      <c r="B79" s="3">
        <v>34196.429999999957</v>
      </c>
      <c r="C79" s="3">
        <v>54351.619999999944</v>
      </c>
      <c r="D79" s="3">
        <v>47590.1</v>
      </c>
      <c r="E79" s="3">
        <v>13956.33</v>
      </c>
      <c r="F79" s="3">
        <v>628.19000000000005</v>
      </c>
      <c r="G79" s="3">
        <v>463.59</v>
      </c>
      <c r="H79" s="3"/>
      <c r="I79" s="3">
        <v>-4.2099999999999795</v>
      </c>
      <c r="J79" s="3">
        <v>575.62</v>
      </c>
      <c r="K79" s="3"/>
      <c r="L79" s="3"/>
      <c r="M79" s="3"/>
      <c r="N79" s="5"/>
      <c r="O79" s="3">
        <v>381.99</v>
      </c>
      <c r="P79" s="3"/>
      <c r="Q79" s="5">
        <f t="shared" si="1"/>
        <v>152139.65999999989</v>
      </c>
    </row>
    <row r="80" spans="1:17" x14ac:dyDescent="0.2">
      <c r="A80" s="2" t="s">
        <v>68</v>
      </c>
      <c r="B80" s="3">
        <v>172194.04000000047</v>
      </c>
      <c r="C80" s="3">
        <v>259724.83000000159</v>
      </c>
      <c r="D80" s="3">
        <v>173386.65999999997</v>
      </c>
      <c r="E80" s="3">
        <v>114490.08999999972</v>
      </c>
      <c r="F80" s="3">
        <v>15479.02</v>
      </c>
      <c r="G80" s="3">
        <v>27949.619999999955</v>
      </c>
      <c r="H80" s="3">
        <v>5241.6799999999994</v>
      </c>
      <c r="I80" s="3">
        <v>17452.099999999991</v>
      </c>
      <c r="J80" s="3">
        <v>25284.759999999991</v>
      </c>
      <c r="K80" s="3">
        <v>16613.360000000004</v>
      </c>
      <c r="L80" s="3"/>
      <c r="M80" s="3">
        <v>571.57999999999993</v>
      </c>
      <c r="N80" s="5">
        <v>965.52</v>
      </c>
      <c r="O80" s="3">
        <v>3705.3</v>
      </c>
      <c r="P80" s="3"/>
      <c r="Q80" s="5">
        <f t="shared" si="1"/>
        <v>833058.56000000192</v>
      </c>
    </row>
    <row r="81" spans="1:17" x14ac:dyDescent="0.2">
      <c r="A81" s="2" t="s">
        <v>95</v>
      </c>
      <c r="B81" s="3"/>
      <c r="C81" s="3"/>
      <c r="D81" s="3">
        <v>-1936.0500000000002</v>
      </c>
      <c r="E81" s="3"/>
      <c r="F81" s="3"/>
      <c r="G81" s="3"/>
      <c r="H81" s="3"/>
      <c r="I81" s="3"/>
      <c r="J81" s="3"/>
      <c r="K81" s="3"/>
      <c r="L81" s="3"/>
      <c r="M81" s="3"/>
      <c r="N81" s="5"/>
      <c r="O81" s="3"/>
      <c r="P81" s="3"/>
      <c r="Q81" s="5">
        <f t="shared" si="1"/>
        <v>-1936.0500000000002</v>
      </c>
    </row>
    <row r="82" spans="1:17" x14ac:dyDescent="0.2">
      <c r="A82" s="2" t="s">
        <v>69</v>
      </c>
      <c r="B82" s="3">
        <v>18798.529999999962</v>
      </c>
      <c r="C82" s="3">
        <v>45512.689999999915</v>
      </c>
      <c r="D82" s="3">
        <v>1755.5999999999995</v>
      </c>
      <c r="E82" s="3">
        <v>3552.34</v>
      </c>
      <c r="F82" s="3">
        <v>16.509999999999991</v>
      </c>
      <c r="G82" s="3">
        <v>2452.8800000000024</v>
      </c>
      <c r="H82" s="3">
        <v>297.26</v>
      </c>
      <c r="I82" s="3">
        <v>-3.0300000000000011</v>
      </c>
      <c r="J82" s="3">
        <v>1608.9399999999991</v>
      </c>
      <c r="K82" s="3">
        <v>0</v>
      </c>
      <c r="L82" s="3"/>
      <c r="M82" s="3"/>
      <c r="N82" s="5">
        <v>10638.11</v>
      </c>
      <c r="O82" s="3">
        <v>10490.67</v>
      </c>
      <c r="P82" s="3"/>
      <c r="Q82" s="5">
        <f t="shared" si="1"/>
        <v>95120.499999999869</v>
      </c>
    </row>
    <row r="83" spans="1:17" x14ac:dyDescent="0.2">
      <c r="A83" s="2" t="s">
        <v>70</v>
      </c>
      <c r="B83" s="3">
        <v>6751.1799999999985</v>
      </c>
      <c r="C83" s="3">
        <v>20758.409999999996</v>
      </c>
      <c r="D83" s="3">
        <v>1399.8399999999997</v>
      </c>
      <c r="E83" s="3"/>
      <c r="F83" s="3">
        <v>0</v>
      </c>
      <c r="G83" s="3"/>
      <c r="H83" s="3"/>
      <c r="I83" s="3">
        <v>478.68</v>
      </c>
      <c r="J83" s="3"/>
      <c r="K83" s="3"/>
      <c r="L83" s="3"/>
      <c r="M83" s="3">
        <v>428.75</v>
      </c>
      <c r="N83" s="5"/>
      <c r="O83" s="3">
        <v>-11.179999999999836</v>
      </c>
      <c r="P83" s="3"/>
      <c r="Q83" s="5">
        <f t="shared" si="1"/>
        <v>29805.679999999997</v>
      </c>
    </row>
    <row r="84" spans="1:17" x14ac:dyDescent="0.2">
      <c r="A84" s="2" t="s">
        <v>71</v>
      </c>
      <c r="B84" s="3">
        <v>-2769.3</v>
      </c>
      <c r="C84" s="3">
        <v>-2096.4999999999986</v>
      </c>
      <c r="D84" s="3">
        <v>-2940</v>
      </c>
      <c r="E84" s="3"/>
      <c r="F84" s="3">
        <v>297.12</v>
      </c>
      <c r="G84" s="3"/>
      <c r="H84" s="3"/>
      <c r="I84" s="3"/>
      <c r="J84" s="3"/>
      <c r="K84" s="3"/>
      <c r="L84" s="3"/>
      <c r="M84" s="3"/>
      <c r="N84" s="5"/>
      <c r="O84" s="3"/>
      <c r="P84" s="3"/>
      <c r="Q84" s="5">
        <f t="shared" si="1"/>
        <v>-7508.6799999999994</v>
      </c>
    </row>
    <row r="85" spans="1:17" x14ac:dyDescent="0.2">
      <c r="A85" s="2" t="s">
        <v>72</v>
      </c>
      <c r="B85" s="3">
        <v>26996.399999999994</v>
      </c>
      <c r="C85" s="3">
        <v>3747.33</v>
      </c>
      <c r="D85" s="3">
        <v>167707.38</v>
      </c>
      <c r="E85" s="3">
        <v>4172.3100000000004</v>
      </c>
      <c r="F85" s="3"/>
      <c r="G85" s="3"/>
      <c r="H85" s="3"/>
      <c r="I85" s="3">
        <v>284.44</v>
      </c>
      <c r="J85" s="3">
        <v>10380.61</v>
      </c>
      <c r="K85" s="3"/>
      <c r="L85" s="3"/>
      <c r="M85" s="3">
        <v>449.92</v>
      </c>
      <c r="N85" s="5"/>
      <c r="O85" s="3"/>
      <c r="P85" s="3"/>
      <c r="Q85" s="5">
        <f t="shared" si="1"/>
        <v>213738.38999999998</v>
      </c>
    </row>
    <row r="86" spans="1:17" x14ac:dyDescent="0.2">
      <c r="A86" s="2" t="s">
        <v>73</v>
      </c>
      <c r="B86" s="3">
        <v>121622.82999999974</v>
      </c>
      <c r="C86" s="3">
        <v>14309.889999999996</v>
      </c>
      <c r="D86" s="3">
        <v>107132.49999999999</v>
      </c>
      <c r="E86" s="3">
        <v>9998.14</v>
      </c>
      <c r="F86" s="3"/>
      <c r="G86" s="3">
        <v>6913.9</v>
      </c>
      <c r="H86" s="3"/>
      <c r="I86" s="3"/>
      <c r="J86" s="3">
        <v>3650.0099999999984</v>
      </c>
      <c r="K86" s="3">
        <v>1659.35</v>
      </c>
      <c r="L86" s="3"/>
      <c r="M86" s="3"/>
      <c r="N86" s="5">
        <v>3813.6500000000015</v>
      </c>
      <c r="O86" s="3"/>
      <c r="P86" s="3">
        <v>131.69999999999999</v>
      </c>
      <c r="Q86" s="5">
        <f t="shared" si="1"/>
        <v>269231.96999999974</v>
      </c>
    </row>
    <row r="88" spans="1:17" x14ac:dyDescent="0.2">
      <c r="B88" s="9">
        <f t="shared" ref="B88:P88" si="2">SUM(B12:B87)</f>
        <v>3204285.6700000288</v>
      </c>
      <c r="C88" s="9">
        <f t="shared" si="2"/>
        <v>2171763.4499999993</v>
      </c>
      <c r="D88" s="9">
        <f t="shared" si="2"/>
        <v>4570239.8999999994</v>
      </c>
      <c r="E88" s="9">
        <f t="shared" si="2"/>
        <v>1641492.8199999998</v>
      </c>
      <c r="F88" s="9">
        <f t="shared" si="2"/>
        <v>458942.56</v>
      </c>
      <c r="G88" s="9">
        <f t="shared" si="2"/>
        <v>433520.61999999959</v>
      </c>
      <c r="H88" s="9">
        <f t="shared" si="2"/>
        <v>87778.569999999978</v>
      </c>
      <c r="I88" s="9">
        <f t="shared" si="2"/>
        <v>710564.99999999977</v>
      </c>
      <c r="J88" s="9">
        <f t="shared" si="2"/>
        <v>522866.79999999964</v>
      </c>
      <c r="K88" s="9">
        <f t="shared" si="2"/>
        <v>519652.79999999993</v>
      </c>
      <c r="L88" s="9">
        <f t="shared" si="2"/>
        <v>1924.0400000000004</v>
      </c>
      <c r="M88" s="9">
        <f t="shared" si="2"/>
        <v>139126.89999999997</v>
      </c>
      <c r="N88" s="9">
        <f t="shared" si="2"/>
        <v>595846.50999999978</v>
      </c>
      <c r="O88" s="9">
        <f t="shared" si="2"/>
        <v>223371.45999999993</v>
      </c>
      <c r="P88" s="9">
        <f t="shared" si="2"/>
        <v>134947.97000000003</v>
      </c>
      <c r="Q88" s="9">
        <f>SUM(Q12:Q87)</f>
        <v>15416325.07000003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9D40-443E-4CA9-9A9B-C02CE4EDBD68}">
  <dimension ref="A1:U85"/>
  <sheetViews>
    <sheetView zoomScale="68" zoomScaleNormal="68" workbookViewId="0">
      <pane xSplit="2" ySplit="3" topLeftCell="G40" activePane="bottomRight" state="frozen"/>
      <selection pane="topRight" activeCell="C1" sqref="C1"/>
      <selection pane="bottomLeft" activeCell="A4" sqref="A4"/>
      <selection pane="bottomRight" activeCell="A83" sqref="A83"/>
    </sheetView>
  </sheetViews>
  <sheetFormatPr defaultRowHeight="15" x14ac:dyDescent="0.2"/>
  <cols>
    <col min="1" max="1" width="73.85546875" style="2" customWidth="1"/>
    <col min="2" max="2" width="21.140625" style="6" bestFit="1" customWidth="1"/>
    <col min="3" max="3" width="3.7109375" style="6" customWidth="1"/>
    <col min="4" max="7" width="19.42578125" style="6" bestFit="1" customWidth="1"/>
    <col min="8" max="10" width="17.140625" style="6" bestFit="1" customWidth="1"/>
    <col min="11" max="13" width="16.7109375" style="6" bestFit="1" customWidth="1"/>
    <col min="14" max="14" width="13.7109375" style="6" bestFit="1" customWidth="1"/>
    <col min="15" max="15" width="21" style="6" bestFit="1" customWidth="1"/>
    <col min="16" max="16" width="17.140625" style="6" bestFit="1" customWidth="1"/>
    <col min="17" max="18" width="17.140625" style="6" customWidth="1"/>
    <col min="19" max="20" width="17.140625" style="6" bestFit="1" customWidth="1"/>
    <col min="21" max="21" width="21.140625" style="2" bestFit="1" customWidth="1"/>
    <col min="22" max="16384" width="9.140625" style="2"/>
  </cols>
  <sheetData>
    <row r="1" spans="1:21" x14ac:dyDescent="0.2">
      <c r="A1" s="1" t="s">
        <v>2</v>
      </c>
    </row>
    <row r="2" spans="1:21" x14ac:dyDescent="0.2">
      <c r="D2" s="7" t="s">
        <v>75</v>
      </c>
      <c r="E2" s="7" t="s">
        <v>76</v>
      </c>
      <c r="F2" s="7" t="s">
        <v>77</v>
      </c>
      <c r="G2" s="7" t="s">
        <v>78</v>
      </c>
      <c r="H2" s="7" t="s">
        <v>79</v>
      </c>
      <c r="I2" s="7" t="s">
        <v>80</v>
      </c>
      <c r="J2" s="7" t="s">
        <v>81</v>
      </c>
      <c r="K2" s="7" t="s">
        <v>82</v>
      </c>
      <c r="L2" s="7" t="s">
        <v>83</v>
      </c>
      <c r="M2" s="7" t="s">
        <v>84</v>
      </c>
      <c r="N2" s="7" t="s">
        <v>85</v>
      </c>
      <c r="O2" s="7" t="s">
        <v>88</v>
      </c>
      <c r="P2" s="7" t="s">
        <v>91</v>
      </c>
      <c r="Q2" s="7" t="s">
        <v>93</v>
      </c>
      <c r="R2" s="7" t="s">
        <v>92</v>
      </c>
      <c r="S2" s="7" t="s">
        <v>87</v>
      </c>
      <c r="T2" s="7" t="s">
        <v>86</v>
      </c>
    </row>
    <row r="3" spans="1:21" x14ac:dyDescent="0.2">
      <c r="B3" s="7" t="s">
        <v>74</v>
      </c>
      <c r="D3" s="7" t="s">
        <v>74</v>
      </c>
      <c r="E3" s="7" t="s">
        <v>74</v>
      </c>
      <c r="F3" s="7" t="s">
        <v>74</v>
      </c>
      <c r="G3" s="7" t="s">
        <v>74</v>
      </c>
      <c r="H3" s="7" t="s">
        <v>74</v>
      </c>
      <c r="I3" s="7" t="s">
        <v>74</v>
      </c>
      <c r="J3" s="7" t="s">
        <v>74</v>
      </c>
      <c r="K3" s="7" t="s">
        <v>74</v>
      </c>
      <c r="L3" s="7" t="s">
        <v>74</v>
      </c>
      <c r="M3" s="7" t="s">
        <v>74</v>
      </c>
      <c r="N3" s="7" t="s">
        <v>74</v>
      </c>
      <c r="O3" s="7" t="s">
        <v>74</v>
      </c>
      <c r="P3" s="7" t="s">
        <v>74</v>
      </c>
      <c r="Q3" s="7" t="s">
        <v>74</v>
      </c>
      <c r="R3" s="7" t="s">
        <v>74</v>
      </c>
      <c r="S3" s="7" t="s">
        <v>74</v>
      </c>
      <c r="T3" s="7" t="s">
        <v>74</v>
      </c>
    </row>
    <row r="4" spans="1:21" x14ac:dyDescent="0.2">
      <c r="B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1" x14ac:dyDescent="0.2">
      <c r="A5" s="2" t="s">
        <v>3</v>
      </c>
      <c r="B5" s="6">
        <v>94106.17</v>
      </c>
      <c r="D5" s="6">
        <v>2</v>
      </c>
      <c r="E5" s="6">
        <v>48794.26</v>
      </c>
      <c r="F5" s="6">
        <v>23437.959999999985</v>
      </c>
      <c r="G5" s="6">
        <v>21555.05</v>
      </c>
      <c r="H5" s="6">
        <v>235.22</v>
      </c>
      <c r="J5" s="6">
        <v>0</v>
      </c>
      <c r="K5" s="6">
        <v>81.680000000000007</v>
      </c>
      <c r="U5" s="5">
        <f>B5-SUM(D5:T5)</f>
        <v>0</v>
      </c>
    </row>
    <row r="6" spans="1:21" x14ac:dyDescent="0.2">
      <c r="A6" s="2" t="s">
        <v>4</v>
      </c>
      <c r="B6" s="6">
        <v>5932.37</v>
      </c>
      <c r="T6" s="6">
        <v>5932.37</v>
      </c>
      <c r="U6" s="5">
        <f t="shared" ref="U6:U63" si="0">B6-SUM(D6:T6)</f>
        <v>0</v>
      </c>
    </row>
    <row r="7" spans="1:21" x14ac:dyDescent="0.2">
      <c r="A7" s="2" t="s">
        <v>5</v>
      </c>
      <c r="B7" s="6">
        <v>550097.48</v>
      </c>
      <c r="D7" s="6">
        <v>229843.97</v>
      </c>
      <c r="E7" s="6">
        <v>44794.73</v>
      </c>
      <c r="F7" s="6">
        <v>52490.37</v>
      </c>
      <c r="G7" s="6">
        <v>78367.5</v>
      </c>
      <c r="H7" s="6">
        <v>25863.339999999993</v>
      </c>
      <c r="I7" s="6">
        <v>3773.51</v>
      </c>
      <c r="J7" s="6">
        <v>6651.0599999999995</v>
      </c>
      <c r="K7" s="6">
        <v>35133.180000000008</v>
      </c>
      <c r="L7" s="6">
        <v>12809.470000000005</v>
      </c>
      <c r="M7" s="6">
        <v>12419.51</v>
      </c>
      <c r="N7" s="6">
        <v>434.76</v>
      </c>
      <c r="O7" s="6">
        <v>2765.24</v>
      </c>
      <c r="S7" s="6">
        <v>1714.94</v>
      </c>
      <c r="T7" s="6">
        <v>43035.9</v>
      </c>
      <c r="U7" s="5">
        <f t="shared" si="0"/>
        <v>0</v>
      </c>
    </row>
    <row r="8" spans="1:21" x14ac:dyDescent="0.2">
      <c r="A8" s="2" t="s">
        <v>6</v>
      </c>
      <c r="B8" s="6">
        <v>330892.71999999997</v>
      </c>
      <c r="D8" s="6">
        <v>36758.85000000002</v>
      </c>
      <c r="E8" s="6">
        <v>75621.350000000006</v>
      </c>
      <c r="F8" s="6">
        <v>153212.86999999988</v>
      </c>
      <c r="G8" s="6">
        <v>18951.320000000007</v>
      </c>
      <c r="H8" s="6">
        <v>3698.7200000000003</v>
      </c>
      <c r="I8" s="6">
        <v>2696.3999999999996</v>
      </c>
      <c r="J8" s="6">
        <v>1036.1600000000001</v>
      </c>
      <c r="K8" s="6">
        <v>2785.2299999999996</v>
      </c>
      <c r="L8" s="6">
        <v>2486.4999999999995</v>
      </c>
      <c r="M8" s="6">
        <v>31562.990000000013</v>
      </c>
      <c r="O8" s="6">
        <v>2082.33</v>
      </c>
      <c r="U8" s="5">
        <f t="shared" si="0"/>
        <v>0</v>
      </c>
    </row>
    <row r="9" spans="1:21" x14ac:dyDescent="0.2">
      <c r="A9" s="2" t="s">
        <v>7</v>
      </c>
      <c r="B9" s="6">
        <v>75215.839999999997</v>
      </c>
      <c r="D9" s="6">
        <f>51070.19-19467.02-385.68</f>
        <v>31217.49</v>
      </c>
      <c r="E9" s="6">
        <f>11492.41-6555.2</f>
        <v>4937.21</v>
      </c>
      <c r="F9" s="6">
        <v>27356.37</v>
      </c>
      <c r="G9" s="6">
        <f>801.92-453.14</f>
        <v>348.78</v>
      </c>
      <c r="H9" s="6">
        <v>2804.91</v>
      </c>
      <c r="I9" s="6">
        <v>1338.22</v>
      </c>
      <c r="K9" s="6">
        <f>938.24-279.06</f>
        <v>659.18000000000006</v>
      </c>
      <c r="L9" s="6">
        <f>1508.82-463.59</f>
        <v>1045.23</v>
      </c>
      <c r="M9" s="6">
        <v>4172.3100000000004</v>
      </c>
      <c r="O9" s="6">
        <f>1749.74-413.6</f>
        <v>1336.1399999999999</v>
      </c>
      <c r="U9" s="5">
        <f t="shared" si="0"/>
        <v>0</v>
      </c>
    </row>
    <row r="10" spans="1:21" x14ac:dyDescent="0.2">
      <c r="A10" s="2" t="s">
        <v>8</v>
      </c>
      <c r="B10" s="6">
        <v>-774.13</v>
      </c>
      <c r="G10" s="6">
        <v>-774.13</v>
      </c>
      <c r="U10" s="5">
        <f t="shared" si="0"/>
        <v>0</v>
      </c>
    </row>
    <row r="11" spans="1:21" x14ac:dyDescent="0.2">
      <c r="A11" s="2" t="s">
        <v>9</v>
      </c>
      <c r="B11" s="6">
        <v>716526.25</v>
      </c>
      <c r="D11" s="6">
        <v>95391.299999999886</v>
      </c>
      <c r="E11" s="6">
        <v>39324.450000000012</v>
      </c>
      <c r="F11" s="6">
        <v>383779.62000000052</v>
      </c>
      <c r="G11" s="6">
        <v>60715.479999999952</v>
      </c>
      <c r="H11" s="6">
        <v>11772.489999999998</v>
      </c>
      <c r="I11" s="6">
        <v>5767.18</v>
      </c>
      <c r="J11" s="6">
        <v>2986.19</v>
      </c>
      <c r="K11" s="6">
        <v>15685.170000000004</v>
      </c>
      <c r="L11" s="6">
        <f>-981.46+19522.45</f>
        <v>18540.990000000002</v>
      </c>
      <c r="M11" s="6">
        <v>49868.100000000013</v>
      </c>
      <c r="O11" s="6">
        <v>590.88</v>
      </c>
      <c r="S11" s="6">
        <v>31441.439999999984</v>
      </c>
      <c r="T11" s="6">
        <v>662.96</v>
      </c>
      <c r="U11" s="5">
        <f t="shared" si="0"/>
        <v>0</v>
      </c>
    </row>
    <row r="12" spans="1:21" x14ac:dyDescent="0.2">
      <c r="A12" s="2" t="s">
        <v>10</v>
      </c>
      <c r="B12" s="6">
        <v>233601.78</v>
      </c>
      <c r="D12" s="6">
        <f>111864.05-4176.83</f>
        <v>107687.22</v>
      </c>
      <c r="E12" s="6">
        <f>3452.94-2916.76</f>
        <v>536.17999999999984</v>
      </c>
      <c r="F12" s="6">
        <f>-2747.19+14976.25</f>
        <v>12229.06</v>
      </c>
      <c r="G12" s="6">
        <f>48409.42-7260.57</f>
        <v>41148.85</v>
      </c>
      <c r="H12" s="6">
        <v>1908.8500000000006</v>
      </c>
      <c r="L12" s="6">
        <f>66914.51+818.2</f>
        <v>67732.709999999992</v>
      </c>
      <c r="M12" s="6">
        <v>2358.9100000000008</v>
      </c>
      <c r="U12" s="5">
        <f t="shared" si="0"/>
        <v>0</v>
      </c>
    </row>
    <row r="13" spans="1:21" x14ac:dyDescent="0.2">
      <c r="A13" s="2" t="s">
        <v>11</v>
      </c>
      <c r="B13" s="6">
        <v>870018.92</v>
      </c>
      <c r="D13" s="6">
        <f>299089.79-106546.5-2779.47</f>
        <v>189763.81999999998</v>
      </c>
      <c r="E13" s="6">
        <f>138433.5-38140.57-579.26</f>
        <v>99713.67</v>
      </c>
      <c r="F13" s="6">
        <f>-132624.71-8424.35+443787.62</f>
        <v>302738.56</v>
      </c>
      <c r="G13" s="6">
        <f>78263.33-7669.74</f>
        <v>70593.59</v>
      </c>
      <c r="H13" s="6">
        <v>47797.77</v>
      </c>
      <c r="I13" s="6">
        <f>22681.55-10181.55-399.9</f>
        <v>12100.1</v>
      </c>
      <c r="J13" s="6">
        <f>19058.41+741.66-289.92</f>
        <v>19510.150000000001</v>
      </c>
      <c r="K13" s="6">
        <f>35462.96+5914.31-865.54</f>
        <v>40511.729999999996</v>
      </c>
      <c r="L13" s="6">
        <f>47474.31-12242.16-1693.02</f>
        <v>33539.129999999997</v>
      </c>
      <c r="M13" s="6">
        <v>30537.64</v>
      </c>
      <c r="N13" s="6">
        <f>470.44-235.22</f>
        <v>235.22</v>
      </c>
      <c r="O13" s="6">
        <f>7591.54-775.27</f>
        <v>6816.27</v>
      </c>
      <c r="Q13" s="6">
        <v>675.6</v>
      </c>
      <c r="S13" s="6">
        <f>18887.27-3234.46-886.3</f>
        <v>14766.510000000002</v>
      </c>
      <c r="T13" s="6">
        <v>719.16</v>
      </c>
      <c r="U13" s="5">
        <f t="shared" si="0"/>
        <v>0</v>
      </c>
    </row>
    <row r="14" spans="1:21" x14ac:dyDescent="0.2">
      <c r="A14" s="2" t="s">
        <v>12</v>
      </c>
      <c r="B14" s="6">
        <v>46037.5</v>
      </c>
      <c r="E14" s="6">
        <f>6341.75-296.52+1228.89</f>
        <v>7274.12</v>
      </c>
      <c r="F14" s="6">
        <v>2730.11</v>
      </c>
      <c r="G14" s="6">
        <v>5319.9000000000005</v>
      </c>
      <c r="I14" s="6">
        <f>14058.92-808.9</f>
        <v>13250.02</v>
      </c>
      <c r="O14" s="6">
        <f>23256.36-5793.01</f>
        <v>17463.349999999999</v>
      </c>
      <c r="U14" s="5">
        <f t="shared" si="0"/>
        <v>0</v>
      </c>
    </row>
    <row r="15" spans="1:21" x14ac:dyDescent="0.2">
      <c r="A15" s="2" t="s">
        <v>13</v>
      </c>
      <c r="B15" s="6">
        <v>109614.83</v>
      </c>
      <c r="D15" s="6">
        <f>54258.19-1157.04-7439.71</f>
        <v>45661.440000000002</v>
      </c>
      <c r="E15" s="6">
        <f>16864.47-5347.78</f>
        <v>11516.690000000002</v>
      </c>
      <c r="F15" s="6">
        <f>8939.72-168.74-3180.36</f>
        <v>5590.619999999999</v>
      </c>
      <c r="G15" s="6">
        <f>33775.53-529.79-6111.09</f>
        <v>27134.649999999998</v>
      </c>
      <c r="H15" s="6">
        <f>507.84-217.92</f>
        <v>289.91999999999996</v>
      </c>
      <c r="I15" s="6">
        <f>543.16-209.14</f>
        <v>334.02</v>
      </c>
      <c r="J15" s="6">
        <f>598.63-272.36</f>
        <v>326.27</v>
      </c>
      <c r="K15" s="6">
        <f>1662.92-173.32</f>
        <v>1489.6000000000001</v>
      </c>
      <c r="L15" s="6">
        <f>7148.63-608.55-192.84</f>
        <v>6347.24</v>
      </c>
      <c r="M15" s="6">
        <f>14767.25-6761.63</f>
        <v>8005.62</v>
      </c>
      <c r="S15" s="6">
        <f>2938.29-19.53</f>
        <v>2918.7599999999998</v>
      </c>
      <c r="U15" s="5">
        <f t="shared" si="0"/>
        <v>0</v>
      </c>
    </row>
    <row r="16" spans="1:21" x14ac:dyDescent="0.2">
      <c r="A16" s="2" t="s">
        <v>14</v>
      </c>
      <c r="B16" s="6">
        <v>16259.93000000004</v>
      </c>
      <c r="D16" s="6">
        <f>981.67-1174.51</f>
        <v>-192.84000000000003</v>
      </c>
      <c r="E16" s="6">
        <f>3585.44-7336.04</f>
        <v>-3750.6</v>
      </c>
      <c r="F16" s="6">
        <v>20597.27</v>
      </c>
      <c r="O16" s="6">
        <v>-393.9</v>
      </c>
      <c r="S16" s="2"/>
      <c r="U16" s="5">
        <f t="shared" si="0"/>
        <v>3.8198777474462986E-11</v>
      </c>
    </row>
    <row r="17" spans="1:21" x14ac:dyDescent="0.2">
      <c r="A17" s="2" t="s">
        <v>89</v>
      </c>
      <c r="B17" s="6">
        <f>-8673.1+460.75</f>
        <v>-8212.35</v>
      </c>
      <c r="D17" s="6">
        <v>-8324.32</v>
      </c>
      <c r="E17" s="6">
        <v>-348.78</v>
      </c>
      <c r="F17" s="6">
        <v>460.75</v>
      </c>
      <c r="U17" s="5">
        <f t="shared" si="0"/>
        <v>0</v>
      </c>
    </row>
    <row r="18" spans="1:21" x14ac:dyDescent="0.2">
      <c r="A18" s="2" t="s">
        <v>15</v>
      </c>
      <c r="B18" s="6">
        <v>39175.13999999997</v>
      </c>
      <c r="D18" s="6">
        <f>5331.28-390.21</f>
        <v>4941.07</v>
      </c>
      <c r="E18" s="6">
        <f>520.24+573.53</f>
        <v>1093.77</v>
      </c>
      <c r="F18" s="6">
        <v>25493.77</v>
      </c>
      <c r="G18" s="6">
        <f>6763.93-1217.52</f>
        <v>5546.41</v>
      </c>
      <c r="H18" s="6">
        <v>463.59</v>
      </c>
      <c r="I18" s="6">
        <v>536.24</v>
      </c>
      <c r="J18" s="6">
        <f>463.59-898.33</f>
        <v>-434.74000000000007</v>
      </c>
      <c r="K18" s="6">
        <v>573.04999999999995</v>
      </c>
      <c r="L18" s="6">
        <v>961.98</v>
      </c>
      <c r="U18" s="5">
        <f t="shared" si="0"/>
        <v>0</v>
      </c>
    </row>
    <row r="19" spans="1:21" x14ac:dyDescent="0.2">
      <c r="A19" s="2" t="s">
        <v>16</v>
      </c>
      <c r="B19" s="6">
        <v>463.59</v>
      </c>
      <c r="D19" s="6">
        <v>463.59</v>
      </c>
      <c r="U19" s="5">
        <f t="shared" si="0"/>
        <v>0</v>
      </c>
    </row>
    <row r="20" spans="1:21" x14ac:dyDescent="0.2">
      <c r="A20" s="2" t="s">
        <v>17</v>
      </c>
      <c r="B20" s="6">
        <v>230425.95</v>
      </c>
      <c r="D20" s="6">
        <f>82792.14-3759.83</f>
        <v>79032.31</v>
      </c>
      <c r="E20" s="6">
        <f>927.18+463.59</f>
        <v>1390.77</v>
      </c>
      <c r="F20" s="6">
        <v>84178.79</v>
      </c>
      <c r="G20" s="6">
        <f>15756.44+4348.91</f>
        <v>20105.349999999999</v>
      </c>
      <c r="H20" s="6">
        <v>16315.169999999996</v>
      </c>
      <c r="I20" s="6">
        <v>2424.6799999999998</v>
      </c>
      <c r="J20" s="6">
        <v>2298.2599999999998</v>
      </c>
      <c r="K20" s="6">
        <f>19915.97+2336.29</f>
        <v>22252.260000000002</v>
      </c>
      <c r="L20" s="6">
        <f>928.61+463.59</f>
        <v>1392.2</v>
      </c>
      <c r="M20" s="6">
        <v>1036.1600000000001</v>
      </c>
      <c r="U20" s="5">
        <f t="shared" si="0"/>
        <v>0</v>
      </c>
    </row>
    <row r="21" spans="1:21" x14ac:dyDescent="0.2">
      <c r="A21" s="2" t="s">
        <v>18</v>
      </c>
      <c r="B21" s="6">
        <v>60837.5</v>
      </c>
      <c r="D21" s="6">
        <v>24122.76000000002</v>
      </c>
      <c r="E21" s="6">
        <v>-134.15999999999985</v>
      </c>
      <c r="F21" s="6">
        <f>-11594.58+22244.69</f>
        <v>10650.109999999999</v>
      </c>
      <c r="G21" s="6">
        <v>7759.89</v>
      </c>
      <c r="H21" s="6">
        <f>-4315.34+5368.83</f>
        <v>1053.4899999999998</v>
      </c>
      <c r="I21" s="6">
        <v>939.26000000000033</v>
      </c>
      <c r="J21" s="6">
        <v>968.27</v>
      </c>
      <c r="K21" s="6">
        <v>14115.279999999997</v>
      </c>
      <c r="L21" s="6">
        <v>927.17999999999972</v>
      </c>
      <c r="S21" s="6">
        <f>2253.48-1818.06</f>
        <v>435.42000000000007</v>
      </c>
      <c r="U21" s="5">
        <f t="shared" si="0"/>
        <v>0</v>
      </c>
    </row>
    <row r="22" spans="1:21" x14ac:dyDescent="0.2">
      <c r="A22" s="2" t="s">
        <v>19</v>
      </c>
      <c r="B22" s="6">
        <v>117904.45999999988</v>
      </c>
      <c r="D22" s="6">
        <v>5210.6400000000003</v>
      </c>
      <c r="E22" s="6">
        <v>38487.909999999938</v>
      </c>
      <c r="F22" s="6">
        <f>-2287.84+17573.81</f>
        <v>15285.970000000001</v>
      </c>
      <c r="G22" s="6">
        <v>50084.26999999996</v>
      </c>
      <c r="H22" s="6">
        <v>298.89999999999998</v>
      </c>
      <c r="I22" s="6">
        <v>7450.6600000000008</v>
      </c>
      <c r="J22" s="6">
        <v>0</v>
      </c>
      <c r="K22" s="6">
        <v>240.88</v>
      </c>
      <c r="L22" s="6">
        <v>845.23</v>
      </c>
      <c r="U22" s="5">
        <f t="shared" si="0"/>
        <v>0</v>
      </c>
    </row>
    <row r="23" spans="1:21" x14ac:dyDescent="0.2">
      <c r="A23" s="2" t="s">
        <v>20</v>
      </c>
      <c r="B23" s="6">
        <v>76539.63</v>
      </c>
      <c r="D23" s="6">
        <v>2431.9399999999996</v>
      </c>
      <c r="E23" s="6">
        <v>58015.979999999894</v>
      </c>
      <c r="F23" s="6">
        <f>3676.9+11896.73</f>
        <v>15573.63</v>
      </c>
      <c r="G23" s="6">
        <v>518.08000000000004</v>
      </c>
      <c r="U23" s="5">
        <f t="shared" si="0"/>
        <v>0</v>
      </c>
    </row>
    <row r="24" spans="1:21" x14ac:dyDescent="0.2">
      <c r="A24" s="2" t="s">
        <v>21</v>
      </c>
      <c r="B24" s="6">
        <v>-19673.540000000012</v>
      </c>
      <c r="D24" s="6">
        <v>-9883.0500000000611</v>
      </c>
      <c r="E24" s="6">
        <v>-4702.38</v>
      </c>
      <c r="F24" s="6">
        <f>-66020.19+27914.97</f>
        <v>-38105.22</v>
      </c>
      <c r="G24" s="6">
        <v>17142.38</v>
      </c>
      <c r="H24" s="6">
        <f>-1445.39+1245.97</f>
        <v>-199.42000000000007</v>
      </c>
      <c r="I24" s="6">
        <v>-99.500000000000227</v>
      </c>
      <c r="J24" s="6">
        <v>266.02999999999986</v>
      </c>
      <c r="K24" s="6">
        <v>2302.0399999999991</v>
      </c>
      <c r="L24" s="6">
        <v>410.73000000000047</v>
      </c>
      <c r="M24" s="6">
        <v>11638.509999999993</v>
      </c>
      <c r="O24" s="6">
        <f>797.91-766.01</f>
        <v>31.899999999999977</v>
      </c>
      <c r="S24" s="6">
        <f>2454.84-930.4</f>
        <v>1524.44</v>
      </c>
      <c r="U24" s="5">
        <f t="shared" si="0"/>
        <v>5.0931703299283981E-11</v>
      </c>
    </row>
    <row r="25" spans="1:21" x14ac:dyDescent="0.2">
      <c r="A25" s="2" t="s">
        <v>22</v>
      </c>
      <c r="B25" s="6">
        <v>137.36000000000001</v>
      </c>
      <c r="F25" s="6">
        <f>-449.13+586.49</f>
        <v>137.36000000000001</v>
      </c>
      <c r="U25" s="5">
        <f t="shared" si="0"/>
        <v>0</v>
      </c>
    </row>
    <row r="26" spans="1:21" x14ac:dyDescent="0.2">
      <c r="A26" s="2" t="s">
        <v>23</v>
      </c>
      <c r="B26" s="6">
        <v>1250496.92</v>
      </c>
      <c r="D26" s="6">
        <v>197659.31999999989</v>
      </c>
      <c r="E26" s="6">
        <v>161545.04999999946</v>
      </c>
      <c r="F26" s="6">
        <f>-200457.44-19844.66+877838.48</f>
        <v>657536.38</v>
      </c>
      <c r="G26" s="6">
        <v>184918.61999999912</v>
      </c>
      <c r="H26" s="6">
        <f>985.63-108.29+7996.95</f>
        <v>8874.2899999999991</v>
      </c>
      <c r="I26" s="6">
        <v>5774.7099999999991</v>
      </c>
      <c r="J26" s="6">
        <v>1943.08</v>
      </c>
      <c r="K26" s="6">
        <v>11292.819999999998</v>
      </c>
      <c r="L26" s="6">
        <v>5540.2300000000014</v>
      </c>
      <c r="M26" s="6">
        <v>11088.870000000003</v>
      </c>
      <c r="O26" s="6">
        <f>1452.7-337.47</f>
        <v>1115.23</v>
      </c>
      <c r="P26" s="6">
        <v>-19805.19000000049</v>
      </c>
      <c r="S26" s="6">
        <f>30868.66-6667.9-1187.25</f>
        <v>23013.510000000002</v>
      </c>
      <c r="U26" s="5">
        <f t="shared" si="0"/>
        <v>0</v>
      </c>
    </row>
    <row r="27" spans="1:21" x14ac:dyDescent="0.2">
      <c r="A27" s="2" t="s">
        <v>24</v>
      </c>
      <c r="B27" s="6">
        <v>-425.79999999999973</v>
      </c>
      <c r="F27" s="6">
        <f>-2181.52+1755.72</f>
        <v>-425.79999999999995</v>
      </c>
      <c r="U27" s="5">
        <f t="shared" si="0"/>
        <v>0</v>
      </c>
    </row>
    <row r="28" spans="1:21" x14ac:dyDescent="0.2">
      <c r="A28" s="2" t="s">
        <v>25</v>
      </c>
      <c r="B28" s="6">
        <v>31139.22</v>
      </c>
      <c r="D28" s="6">
        <v>1010.3100000000086</v>
      </c>
      <c r="E28" s="6">
        <v>-430.11999999999949</v>
      </c>
      <c r="F28" s="6">
        <f>797.76-1049.78-7839.39+17267.99</f>
        <v>9176.5800000000017</v>
      </c>
      <c r="G28" s="6">
        <v>690.51000000000022</v>
      </c>
      <c r="H28" s="6">
        <f>-289.92-571.18+4637.47</f>
        <v>3776.3700000000003</v>
      </c>
      <c r="I28" s="6">
        <v>199.48999999999978</v>
      </c>
      <c r="J28" s="6">
        <v>699.65000000000009</v>
      </c>
      <c r="K28" s="6">
        <v>5260.58</v>
      </c>
      <c r="L28" s="6">
        <v>373.51000000000022</v>
      </c>
      <c r="M28" s="6">
        <v>362.44</v>
      </c>
      <c r="O28" s="6">
        <v>482.81999999999994</v>
      </c>
      <c r="S28" s="6">
        <f>17543.24-547.24-243.39-7215.53</f>
        <v>9537.0800000000017</v>
      </c>
      <c r="U28" s="5">
        <f t="shared" si="0"/>
        <v>0</v>
      </c>
    </row>
    <row r="29" spans="1:21" x14ac:dyDescent="0.2">
      <c r="A29" s="2" t="s">
        <v>26</v>
      </c>
      <c r="B29" s="6">
        <v>1614.12</v>
      </c>
      <c r="D29" s="6">
        <v>5798.7999999999665</v>
      </c>
      <c r="E29" s="6">
        <v>-2539.7900000000081</v>
      </c>
      <c r="F29" s="6">
        <f>-28051.24+25437.38</f>
        <v>-2613.8600000000006</v>
      </c>
      <c r="G29" s="6">
        <v>1551.5</v>
      </c>
      <c r="H29" s="6">
        <f>-4117.14+2159.55</f>
        <v>-1957.5900000000001</v>
      </c>
      <c r="I29" s="6">
        <v>49.239999999999782</v>
      </c>
      <c r="J29" s="6">
        <v>-127.28999999999996</v>
      </c>
      <c r="K29" s="6">
        <v>2422.9699999999984</v>
      </c>
      <c r="L29" s="6">
        <v>-410.76000000000022</v>
      </c>
      <c r="M29" s="6">
        <v>-913.85999999999956</v>
      </c>
      <c r="S29" s="6">
        <f>3126.38-3061.54</f>
        <v>64.840000000000146</v>
      </c>
      <c r="T29" s="6">
        <v>289.92</v>
      </c>
      <c r="U29" s="5">
        <f t="shared" si="0"/>
        <v>4.3655745685100555E-11</v>
      </c>
    </row>
    <row r="30" spans="1:21" x14ac:dyDescent="0.2">
      <c r="A30" s="2" t="s">
        <v>27</v>
      </c>
      <c r="B30" s="6">
        <v>-34429.47</v>
      </c>
      <c r="D30" s="6">
        <v>-4873.66</v>
      </c>
      <c r="E30" s="6">
        <v>-18034.780000000002</v>
      </c>
      <c r="F30" s="6">
        <v>-7658.0599999999995</v>
      </c>
      <c r="G30" s="6">
        <v>-1403.3300000000002</v>
      </c>
      <c r="I30" s="6">
        <v>-730.19999999999982</v>
      </c>
      <c r="J30" s="6">
        <v>0</v>
      </c>
      <c r="K30" s="6">
        <v>0</v>
      </c>
      <c r="L30" s="6">
        <v>-391.47</v>
      </c>
      <c r="M30" s="6">
        <v>-1337.9700000000003</v>
      </c>
      <c r="U30" s="5">
        <f t="shared" si="0"/>
        <v>0</v>
      </c>
    </row>
    <row r="31" spans="1:21" x14ac:dyDescent="0.2">
      <c r="A31" s="2" t="s">
        <v>28</v>
      </c>
      <c r="B31" s="6">
        <v>-2520.0500000000002</v>
      </c>
      <c r="D31" s="6">
        <v>-1102.2900000000004</v>
      </c>
      <c r="F31" s="6">
        <f>-8307.52+6889.78</f>
        <v>-1417.7400000000007</v>
      </c>
      <c r="H31" s="6">
        <f>-256.13+256.11</f>
        <v>-1.999999999998181E-2</v>
      </c>
      <c r="U31" s="5">
        <f t="shared" si="0"/>
        <v>0</v>
      </c>
    </row>
    <row r="32" spans="1:21" x14ac:dyDescent="0.2">
      <c r="A32" s="2" t="s">
        <v>29</v>
      </c>
      <c r="B32" s="6">
        <v>102833.24000000018</v>
      </c>
      <c r="D32" s="6">
        <v>-5190.4599999999973</v>
      </c>
      <c r="E32" s="6">
        <v>18897.47</v>
      </c>
      <c r="F32" s="6">
        <f>-17241.29+104484.7</f>
        <v>87243.41</v>
      </c>
      <c r="G32" s="6">
        <v>2419.06</v>
      </c>
      <c r="H32" s="6">
        <v>-536.24</v>
      </c>
      <c r="U32" s="5">
        <f t="shared" si="0"/>
        <v>1.7462298274040222E-10</v>
      </c>
    </row>
    <row r="33" spans="1:21" x14ac:dyDescent="0.2">
      <c r="A33" s="2" t="s">
        <v>30</v>
      </c>
      <c r="B33" s="6">
        <v>17348.119999999995</v>
      </c>
      <c r="D33" s="6">
        <v>6013.2700000000013</v>
      </c>
      <c r="E33" s="6">
        <v>0</v>
      </c>
      <c r="F33" s="6">
        <f>4625.5</f>
        <v>4625.5</v>
      </c>
      <c r="G33" s="6">
        <v>1979.4199999999998</v>
      </c>
      <c r="H33" s="6">
        <v>518.08000000000004</v>
      </c>
      <c r="J33" s="6">
        <v>643.49</v>
      </c>
      <c r="K33" s="6">
        <v>3104.77</v>
      </c>
      <c r="L33" s="6">
        <v>463.59</v>
      </c>
      <c r="U33" s="5">
        <f t="shared" si="0"/>
        <v>0</v>
      </c>
    </row>
    <row r="34" spans="1:21" x14ac:dyDescent="0.2">
      <c r="A34" s="2" t="s">
        <v>31</v>
      </c>
      <c r="B34" s="6">
        <f>1404698.5+17310.08</f>
        <v>1422008.58</v>
      </c>
      <c r="D34" s="6">
        <v>84954.1</v>
      </c>
      <c r="E34" s="6">
        <v>85366.799999999959</v>
      </c>
      <c r="F34" s="6">
        <f>6611.33+289192.29</f>
        <v>295803.62</v>
      </c>
      <c r="G34" s="6">
        <v>147353.39999999994</v>
      </c>
      <c r="H34" s="6">
        <f>2304.07+105742.06</f>
        <v>108046.13</v>
      </c>
      <c r="I34" s="6">
        <v>144064.84000000005</v>
      </c>
      <c r="J34" s="6">
        <v>6054.5999999999995</v>
      </c>
      <c r="K34" s="6">
        <v>285844.42999999988</v>
      </c>
      <c r="L34" s="6">
        <v>98926.219999999987</v>
      </c>
      <c r="M34" s="6">
        <f>119793.53-4147.78</f>
        <v>115645.75</v>
      </c>
      <c r="N34" s="6">
        <v>464.69</v>
      </c>
      <c r="O34" s="6">
        <f>12955.59-294.82</f>
        <v>12660.77</v>
      </c>
      <c r="P34" s="6">
        <f>2524.36-2380.15</f>
        <v>144.21000000000004</v>
      </c>
      <c r="Q34" s="6">
        <v>641.84</v>
      </c>
      <c r="S34" s="6">
        <f>12203.93+717.15</f>
        <v>12921.08</v>
      </c>
      <c r="T34" s="6">
        <f>23116.1</f>
        <v>23116.1</v>
      </c>
      <c r="U34" s="5">
        <f t="shared" si="0"/>
        <v>0</v>
      </c>
    </row>
    <row r="35" spans="1:21" x14ac:dyDescent="0.2">
      <c r="A35" s="2" t="s">
        <v>32</v>
      </c>
      <c r="B35" s="6">
        <v>-1267.2</v>
      </c>
      <c r="T35" s="6">
        <v>-1267.2</v>
      </c>
      <c r="U35" s="5">
        <f t="shared" si="0"/>
        <v>0</v>
      </c>
    </row>
    <row r="36" spans="1:21" x14ac:dyDescent="0.2">
      <c r="A36" s="2" t="s">
        <v>33</v>
      </c>
      <c r="B36" s="6">
        <v>41410.079999999973</v>
      </c>
      <c r="D36" s="6">
        <v>10306.46000000001</v>
      </c>
      <c r="E36" s="6">
        <v>2064.2000000000003</v>
      </c>
      <c r="F36" s="6">
        <f>-23795.45+52371.28</f>
        <v>28575.829999999998</v>
      </c>
      <c r="G36" s="6">
        <v>463.59</v>
      </c>
      <c r="U36" s="5">
        <f t="shared" si="0"/>
        <v>0</v>
      </c>
    </row>
    <row r="37" spans="1:21" x14ac:dyDescent="0.2">
      <c r="A37" s="2" t="s">
        <v>34</v>
      </c>
      <c r="B37" s="6">
        <v>21742.229999999989</v>
      </c>
      <c r="D37" s="6">
        <v>9998.1399999999976</v>
      </c>
      <c r="E37" s="6">
        <v>5306.3000000000011</v>
      </c>
      <c r="F37" s="6">
        <v>5316.49</v>
      </c>
      <c r="G37" s="6">
        <v>418.28</v>
      </c>
      <c r="H37" s="6">
        <v>284.74</v>
      </c>
      <c r="I37" s="6">
        <v>209.14</v>
      </c>
      <c r="S37" s="6">
        <v>209.14</v>
      </c>
      <c r="U37" s="5">
        <f t="shared" si="0"/>
        <v>0</v>
      </c>
    </row>
    <row r="38" spans="1:21" x14ac:dyDescent="0.2">
      <c r="A38" s="2" t="s">
        <v>35</v>
      </c>
      <c r="B38" s="6">
        <v>47085.11</v>
      </c>
      <c r="D38" s="6">
        <v>11898.729999999994</v>
      </c>
      <c r="E38" s="6">
        <v>8869.44</v>
      </c>
      <c r="F38" s="6">
        <f>-5844.73+17362.78</f>
        <v>11518.05</v>
      </c>
      <c r="G38" s="6">
        <v>4722.6499999999996</v>
      </c>
      <c r="H38" s="6">
        <f>-1191.49+2451.6</f>
        <v>1260.1099999999999</v>
      </c>
      <c r="I38" s="6">
        <v>463.58999999999992</v>
      </c>
      <c r="J38" s="6">
        <v>334.02</v>
      </c>
      <c r="K38" s="6">
        <v>1542.92</v>
      </c>
      <c r="L38" s="6">
        <v>1622.24</v>
      </c>
      <c r="M38" s="6">
        <v>1494.4100000000003</v>
      </c>
      <c r="O38" s="6">
        <v>1854.9699999999998</v>
      </c>
      <c r="S38" s="6">
        <v>1503.98</v>
      </c>
      <c r="U38" s="5">
        <f t="shared" si="0"/>
        <v>0</v>
      </c>
    </row>
    <row r="39" spans="1:21" x14ac:dyDescent="0.2">
      <c r="A39" s="2" t="s">
        <v>36</v>
      </c>
      <c r="B39" s="6">
        <v>-55557.94</v>
      </c>
      <c r="D39" s="6">
        <v>-5851.6400000002177</v>
      </c>
      <c r="E39" s="6">
        <v>-10551.900000000012</v>
      </c>
      <c r="F39" s="6">
        <f>-146841.99+102218.7</f>
        <v>-44623.289999999994</v>
      </c>
      <c r="G39" s="6">
        <v>7443.9199999999946</v>
      </c>
      <c r="H39" s="6">
        <f>-1084.4+1519.16</f>
        <v>434.76</v>
      </c>
      <c r="I39" s="6">
        <v>-752.48</v>
      </c>
      <c r="J39" s="6">
        <v>80.31</v>
      </c>
      <c r="K39" s="6">
        <v>-1873.5499999999997</v>
      </c>
      <c r="L39" s="6">
        <v>-152.61000000000035</v>
      </c>
      <c r="M39" s="6">
        <v>-735.18000000000006</v>
      </c>
      <c r="S39" s="6">
        <f>3230.94-2207.22</f>
        <v>1023.7200000000003</v>
      </c>
      <c r="U39" s="5">
        <f t="shared" si="0"/>
        <v>2.255546860396862E-10</v>
      </c>
    </row>
    <row r="40" spans="1:21" x14ac:dyDescent="0.2">
      <c r="A40" s="2" t="s">
        <v>37</v>
      </c>
      <c r="B40" s="6">
        <v>82</v>
      </c>
      <c r="E40" s="6">
        <v>630</v>
      </c>
      <c r="F40" s="6">
        <v>-548</v>
      </c>
      <c r="U40" s="5">
        <f t="shared" si="0"/>
        <v>0</v>
      </c>
    </row>
    <row r="41" spans="1:21" x14ac:dyDescent="0.2">
      <c r="A41" s="2" t="s">
        <v>38</v>
      </c>
      <c r="B41" s="6">
        <v>37682.239999999954</v>
      </c>
      <c r="D41" s="6">
        <v>-5015.92</v>
      </c>
      <c r="E41" s="6">
        <v>14726.479999999996</v>
      </c>
      <c r="F41" s="6">
        <f>-10837.92+14539.25</f>
        <v>3701.33</v>
      </c>
      <c r="G41" s="6">
        <v>1483.13</v>
      </c>
      <c r="H41" s="6">
        <f>-235.22+222.84</f>
        <v>-12.379999999999995</v>
      </c>
      <c r="I41" s="6">
        <v>-385.68000000000006</v>
      </c>
      <c r="J41" s="6">
        <v>643.49</v>
      </c>
      <c r="K41" s="6">
        <v>499.43</v>
      </c>
      <c r="S41" s="6">
        <f>1636.07-241.05</f>
        <v>1395.02</v>
      </c>
      <c r="T41" s="6">
        <v>20647.339999999993</v>
      </c>
      <c r="U41" s="5">
        <f t="shared" si="0"/>
        <v>0</v>
      </c>
    </row>
    <row r="42" spans="1:21" x14ac:dyDescent="0.2">
      <c r="A42" s="2" t="s">
        <v>39</v>
      </c>
      <c r="B42" s="6">
        <v>-645.39</v>
      </c>
      <c r="F42" s="6">
        <v>-645.39</v>
      </c>
      <c r="U42" s="5">
        <f t="shared" si="0"/>
        <v>0</v>
      </c>
    </row>
    <row r="43" spans="1:21" x14ac:dyDescent="0.2">
      <c r="A43" s="2" t="s">
        <v>40</v>
      </c>
      <c r="B43" s="6">
        <v>-4038.1500000000015</v>
      </c>
      <c r="D43" s="6">
        <v>-169.28999999999996</v>
      </c>
      <c r="E43" s="6">
        <v>-1458</v>
      </c>
      <c r="F43" s="6">
        <f>-6030.53+6064.76</f>
        <v>34.230000000000473</v>
      </c>
      <c r="M43" s="6">
        <v>-2445.09</v>
      </c>
      <c r="U43" s="5">
        <f t="shared" si="0"/>
        <v>0</v>
      </c>
    </row>
    <row r="44" spans="1:21" x14ac:dyDescent="0.2">
      <c r="A44" s="2" t="s">
        <v>41</v>
      </c>
      <c r="B44" s="6">
        <v>836037.14</v>
      </c>
      <c r="D44" s="6">
        <v>136959.48999999958</v>
      </c>
      <c r="E44" s="6">
        <v>65887.699999999691</v>
      </c>
      <c r="F44" s="6">
        <f>-121863.3+570820.53</f>
        <v>448957.23000000004</v>
      </c>
      <c r="G44" s="6">
        <v>56707.549999999886</v>
      </c>
      <c r="H44" s="6">
        <f>-1734.35+11876.06</f>
        <v>10141.709999999999</v>
      </c>
      <c r="I44" s="6">
        <v>5562.1100000000006</v>
      </c>
      <c r="J44" s="6">
        <v>3021.24</v>
      </c>
      <c r="K44" s="6">
        <v>41898.119999999952</v>
      </c>
      <c r="L44" s="6">
        <v>8327.56</v>
      </c>
      <c r="M44" s="6">
        <v>24349.279999999981</v>
      </c>
      <c r="O44" s="6">
        <f>28434.19+806.61</f>
        <v>29240.799999999999</v>
      </c>
      <c r="Q44" s="6">
        <v>507.84000000000003</v>
      </c>
      <c r="S44" s="6">
        <f>3561.06-2257.98</f>
        <v>1303.08</v>
      </c>
      <c r="T44" s="6">
        <v>3173.4300000000003</v>
      </c>
      <c r="U44" s="5">
        <f t="shared" si="0"/>
        <v>0</v>
      </c>
    </row>
    <row r="45" spans="1:21" x14ac:dyDescent="0.2">
      <c r="A45" s="2" t="s">
        <v>42</v>
      </c>
      <c r="B45" s="6">
        <v>-54987.019999999975</v>
      </c>
      <c r="D45" s="6">
        <v>-45081.830000000438</v>
      </c>
      <c r="E45" s="6">
        <v>-424.51999999999316</v>
      </c>
      <c r="F45" s="6">
        <f>-38841.63+30568.94</f>
        <v>-8272.6899999999987</v>
      </c>
      <c r="G45" s="6">
        <v>-7.9999999999998295E-2</v>
      </c>
      <c r="H45" s="6">
        <f>-198.2+697.56</f>
        <v>499.35999999999996</v>
      </c>
      <c r="I45" s="6">
        <v>-7.2000000000000455</v>
      </c>
      <c r="J45" s="6">
        <v>0</v>
      </c>
      <c r="K45" s="6">
        <v>-261.77999999999997</v>
      </c>
      <c r="L45" s="6">
        <v>84.720000000000027</v>
      </c>
      <c r="M45" s="6">
        <v>-1522.9999999999893</v>
      </c>
      <c r="U45" s="5">
        <f t="shared" si="0"/>
        <v>4.4383341446518898E-10</v>
      </c>
    </row>
    <row r="46" spans="1:21" x14ac:dyDescent="0.2">
      <c r="A46" s="2" t="s">
        <v>43</v>
      </c>
      <c r="B46" s="6">
        <v>-2387.3799999999992</v>
      </c>
      <c r="E46" s="6">
        <v>-927.18</v>
      </c>
      <c r="F46" s="6">
        <v>-1453.79</v>
      </c>
      <c r="G46" s="6">
        <v>6.7000000000000455</v>
      </c>
      <c r="H46" s="6">
        <f>-1054.32+1054.32</f>
        <v>0</v>
      </c>
      <c r="I46" s="6">
        <v>0</v>
      </c>
      <c r="J46" s="6">
        <v>0</v>
      </c>
      <c r="K46" s="6">
        <v>9.9999999999909051E-3</v>
      </c>
      <c r="L46" s="6">
        <v>-13.120000000000005</v>
      </c>
      <c r="U46" s="5">
        <f t="shared" si="0"/>
        <v>0</v>
      </c>
    </row>
    <row r="47" spans="1:21" x14ac:dyDescent="0.2">
      <c r="A47" s="2" t="s">
        <v>44</v>
      </c>
      <c r="B47" s="6">
        <v>-7800</v>
      </c>
      <c r="D47" s="6">
        <v>-1800</v>
      </c>
      <c r="F47" s="6">
        <v>-6000</v>
      </c>
      <c r="U47" s="5">
        <f t="shared" si="0"/>
        <v>0</v>
      </c>
    </row>
    <row r="48" spans="1:21" x14ac:dyDescent="0.2">
      <c r="A48" s="2" t="s">
        <v>45</v>
      </c>
      <c r="B48" s="6">
        <v>933632.62</v>
      </c>
      <c r="D48" s="6">
        <v>104674.92999999964</v>
      </c>
      <c r="E48" s="6">
        <v>106100.38999999962</v>
      </c>
      <c r="F48" s="6">
        <f>-14087.39-102.37+75036.19</f>
        <v>60846.43</v>
      </c>
      <c r="G48" s="6">
        <v>271890.84000000171</v>
      </c>
      <c r="H48" s="6">
        <f>-5387.83+42149.61</f>
        <v>36761.78</v>
      </c>
      <c r="I48" s="6">
        <v>73569.589999999851</v>
      </c>
      <c r="J48" s="6">
        <v>4490.1600000000008</v>
      </c>
      <c r="K48" s="6">
        <v>51146.899999999841</v>
      </c>
      <c r="L48" s="6">
        <v>84985.369999999835</v>
      </c>
      <c r="M48" s="6">
        <v>38876.159999999967</v>
      </c>
      <c r="O48" s="6">
        <f>2875.49-827.2</f>
        <v>2048.29</v>
      </c>
      <c r="P48" s="6">
        <v>115752.04999999951</v>
      </c>
      <c r="Q48" s="6">
        <v>-240</v>
      </c>
      <c r="R48" s="6">
        <v>-20147.160000000003</v>
      </c>
      <c r="T48" s="6">
        <f>3254.73-377.84</f>
        <v>2876.89</v>
      </c>
      <c r="U48" s="5">
        <f t="shared" si="0"/>
        <v>0</v>
      </c>
    </row>
    <row r="49" spans="1:21" x14ac:dyDescent="0.2">
      <c r="A49" s="2" t="s">
        <v>46</v>
      </c>
      <c r="B49" s="6">
        <v>6136.260000000002</v>
      </c>
      <c r="D49" s="6">
        <v>13411.070000000018</v>
      </c>
      <c r="F49" s="6">
        <f>-7700.49-7.61</f>
        <v>-7708.0999999999995</v>
      </c>
      <c r="I49" s="6">
        <v>433.29</v>
      </c>
      <c r="U49" s="5">
        <f t="shared" si="0"/>
        <v>-1.6370904631912708E-11</v>
      </c>
    </row>
    <row r="50" spans="1:21" x14ac:dyDescent="0.2">
      <c r="A50" s="2" t="s">
        <v>47</v>
      </c>
      <c r="B50" s="6">
        <v>1021811.89</v>
      </c>
      <c r="D50" s="6">
        <v>543761.74000002909</v>
      </c>
      <c r="E50" s="6">
        <v>84234.669999999634</v>
      </c>
      <c r="F50" s="6">
        <f>-116193.56+230825.86</f>
        <v>114632.29999999999</v>
      </c>
      <c r="G50" s="6">
        <v>79617.56</v>
      </c>
      <c r="H50" s="6">
        <f>1226.46+19839.41</f>
        <v>21065.87</v>
      </c>
      <c r="I50" s="6">
        <v>12836.710000000008</v>
      </c>
      <c r="J50" s="6">
        <v>11769.870000000006</v>
      </c>
      <c r="K50" s="6">
        <v>26343.379999999994</v>
      </c>
      <c r="L50" s="6">
        <v>53492.589999999778</v>
      </c>
      <c r="M50" s="6">
        <v>27174.739999999951</v>
      </c>
      <c r="O50" s="6">
        <f>1138+106.18</f>
        <v>1244.18</v>
      </c>
      <c r="S50" s="6">
        <f>46989.37-1351.09</f>
        <v>45638.280000000006</v>
      </c>
      <c r="U50" s="5">
        <f t="shared" si="0"/>
        <v>-2.8638169169425964E-8</v>
      </c>
    </row>
    <row r="51" spans="1:21" x14ac:dyDescent="0.2">
      <c r="A51" s="2" t="s">
        <v>48</v>
      </c>
      <c r="B51" s="6">
        <v>1290286.55</v>
      </c>
      <c r="D51" s="6">
        <v>231728.6100000008</v>
      </c>
      <c r="E51" s="6">
        <v>101795.22999999972</v>
      </c>
      <c r="F51" s="6">
        <f>-84984.26+348693.69</f>
        <v>263709.43</v>
      </c>
      <c r="G51" s="6">
        <v>65461.949999999793</v>
      </c>
      <c r="H51" s="6">
        <f>1717.73+15505.84</f>
        <v>17223.57</v>
      </c>
      <c r="I51" s="6">
        <v>25781.239999999962</v>
      </c>
      <c r="J51" s="6">
        <v>8637.3499999999985</v>
      </c>
      <c r="K51" s="6">
        <v>27993.659999999989</v>
      </c>
      <c r="L51" s="6">
        <v>15046.900000000007</v>
      </c>
      <c r="M51" s="6">
        <v>5746.36</v>
      </c>
      <c r="N51" s="6">
        <f>4.23+49.2</f>
        <v>53.430000000000007</v>
      </c>
      <c r="O51" s="6">
        <f>7628.15-61.9</f>
        <v>7566.25</v>
      </c>
      <c r="P51" s="6">
        <v>322294.13000000024</v>
      </c>
      <c r="Q51" s="6">
        <v>638.70000000000005</v>
      </c>
      <c r="R51" s="6">
        <v>179118.45000000054</v>
      </c>
      <c r="S51" s="6">
        <f>18227.84-736.55</f>
        <v>17491.29</v>
      </c>
      <c r="U51" s="5">
        <f t="shared" si="0"/>
        <v>0</v>
      </c>
    </row>
    <row r="52" spans="1:21" x14ac:dyDescent="0.2">
      <c r="A52" s="2" t="s">
        <v>49</v>
      </c>
      <c r="B52" s="6">
        <v>138299.16999999978</v>
      </c>
      <c r="D52" s="6">
        <v>3355.8700000000003</v>
      </c>
      <c r="E52" s="6">
        <v>91032.459999999701</v>
      </c>
      <c r="F52" s="6">
        <f>-5616.95+49527.79</f>
        <v>43910.840000000004</v>
      </c>
      <c r="G52" s="6">
        <v>0</v>
      </c>
      <c r="S52" s="2"/>
      <c r="U52" s="5">
        <f t="shared" si="0"/>
        <v>0</v>
      </c>
    </row>
    <row r="53" spans="1:21" x14ac:dyDescent="0.2">
      <c r="A53" s="2" t="s">
        <v>50</v>
      </c>
      <c r="B53" s="6">
        <v>293453.19</v>
      </c>
      <c r="D53" s="6">
        <v>69640.669999999824</v>
      </c>
      <c r="E53" s="6">
        <v>46326.649999999972</v>
      </c>
      <c r="F53" s="6">
        <f>-100019.78+191562.89</f>
        <v>91543.110000000015</v>
      </c>
      <c r="G53" s="6">
        <v>45227.569999999949</v>
      </c>
      <c r="H53" s="6">
        <f>-6954.65+8623.76</f>
        <v>1669.1100000000006</v>
      </c>
      <c r="I53" s="6">
        <v>9043.86</v>
      </c>
      <c r="J53" s="6">
        <v>0</v>
      </c>
      <c r="K53" s="6">
        <v>-1401.15</v>
      </c>
      <c r="L53" s="6">
        <v>5397.0000000000009</v>
      </c>
      <c r="M53" s="6">
        <v>19975.009999999987</v>
      </c>
      <c r="N53" s="6">
        <f>458.85-414.68</f>
        <v>44.170000000000016</v>
      </c>
      <c r="O53" s="6">
        <v>6352.0099999999993</v>
      </c>
      <c r="S53" s="6">
        <f>-364.82</f>
        <v>-364.82</v>
      </c>
      <c r="U53" s="5">
        <f t="shared" si="0"/>
        <v>0</v>
      </c>
    </row>
    <row r="54" spans="1:21" x14ac:dyDescent="0.2">
      <c r="A54" s="2" t="s">
        <v>51</v>
      </c>
      <c r="B54" s="6">
        <v>-21353.809999999998</v>
      </c>
      <c r="D54" s="6">
        <v>-6514.92</v>
      </c>
      <c r="E54" s="6">
        <v>-2288.2200000000003</v>
      </c>
      <c r="F54" s="6">
        <f>-12808.07+1728.6</f>
        <v>-11079.47</v>
      </c>
      <c r="G54" s="6">
        <v>-921.42</v>
      </c>
      <c r="I54" s="6">
        <v>-549.78</v>
      </c>
      <c r="U54" s="5">
        <f t="shared" si="0"/>
        <v>0</v>
      </c>
    </row>
    <row r="55" spans="1:21" x14ac:dyDescent="0.2">
      <c r="A55" s="2" t="s">
        <v>52</v>
      </c>
      <c r="B55" s="6">
        <v>479887.31000000046</v>
      </c>
      <c r="D55" s="6">
        <v>85394.930000000051</v>
      </c>
      <c r="E55" s="6">
        <v>31722.959999999999</v>
      </c>
      <c r="F55" s="6">
        <f>-171320.29+383578.65</f>
        <v>212258.36000000002</v>
      </c>
      <c r="G55" s="6">
        <v>56137.979999999996</v>
      </c>
      <c r="H55" s="6">
        <f>-32230.58+84197.64</f>
        <v>51967.06</v>
      </c>
      <c r="I55" s="6">
        <v>15579.829999999998</v>
      </c>
      <c r="J55" s="6">
        <v>245</v>
      </c>
      <c r="K55" s="6">
        <v>-3013.4799999999996</v>
      </c>
      <c r="L55" s="6">
        <v>10789.720000000001</v>
      </c>
      <c r="M55" s="6">
        <v>20805.199999999997</v>
      </c>
      <c r="O55" s="6">
        <f>1930-1300</f>
        <v>630</v>
      </c>
      <c r="Q55" s="6">
        <f>710-740</f>
        <v>-30</v>
      </c>
      <c r="S55" s="6">
        <f>506.67-3106.92</f>
        <v>-2600.25</v>
      </c>
      <c r="U55" s="5">
        <f t="shared" si="0"/>
        <v>0</v>
      </c>
    </row>
    <row r="56" spans="1:21" x14ac:dyDescent="0.2">
      <c r="A56" s="2" t="s">
        <v>53</v>
      </c>
      <c r="B56" s="6">
        <v>-105050.87</v>
      </c>
      <c r="D56" s="6">
        <v>-21176.82</v>
      </c>
      <c r="E56" s="6">
        <v>-10012.689999999999</v>
      </c>
      <c r="F56" s="6">
        <v>-46311.790000000015</v>
      </c>
      <c r="G56" s="6">
        <v>-10700.860000000004</v>
      </c>
      <c r="H56" s="6">
        <v>124.84</v>
      </c>
      <c r="I56" s="6">
        <v>-1140.2700000000004</v>
      </c>
      <c r="J56" s="6">
        <v>-927.17999999999984</v>
      </c>
      <c r="K56" s="6">
        <v>-3108.3899999999985</v>
      </c>
      <c r="L56" s="6">
        <v>-2482.9699999999998</v>
      </c>
      <c r="M56" s="6">
        <v>-2684.2600000000007</v>
      </c>
      <c r="O56" s="6">
        <v>472.62</v>
      </c>
      <c r="S56" s="6">
        <f>-7103.1</f>
        <v>-7103.1</v>
      </c>
      <c r="U56" s="5">
        <f t="shared" si="0"/>
        <v>0</v>
      </c>
    </row>
    <row r="57" spans="1:21" x14ac:dyDescent="0.2">
      <c r="A57" s="2" t="s">
        <v>54</v>
      </c>
      <c r="B57" s="6">
        <v>173479.75999999981</v>
      </c>
      <c r="D57" s="6">
        <v>68921.749999999724</v>
      </c>
      <c r="E57" s="6">
        <v>14749.890000000009</v>
      </c>
      <c r="F57" s="6">
        <f>-10704.34+25267.46</f>
        <v>14563.119999999999</v>
      </c>
      <c r="G57" s="6">
        <v>17989.599999999999</v>
      </c>
      <c r="H57" s="6">
        <f>-289.74+1126.78</f>
        <v>837.04</v>
      </c>
      <c r="I57" s="6">
        <v>9353.6200000000026</v>
      </c>
      <c r="J57" s="6">
        <v>217.92</v>
      </c>
      <c r="K57" s="6">
        <v>22783.279999999999</v>
      </c>
      <c r="L57" s="6">
        <v>9022.570000000007</v>
      </c>
      <c r="M57" s="6">
        <v>6617.890000000004</v>
      </c>
      <c r="N57" s="6">
        <v>-256.13</v>
      </c>
      <c r="O57" s="6">
        <v>645.38</v>
      </c>
      <c r="S57" s="6">
        <f>13323.82-5289.99</f>
        <v>8033.83</v>
      </c>
      <c r="U57" s="5">
        <f t="shared" si="0"/>
        <v>0</v>
      </c>
    </row>
    <row r="58" spans="1:21" x14ac:dyDescent="0.2">
      <c r="A58" s="2" t="s">
        <v>55</v>
      </c>
      <c r="B58" s="6">
        <v>459.86000000000013</v>
      </c>
      <c r="D58" s="6">
        <v>46.820000000000164</v>
      </c>
      <c r="F58" s="6">
        <f>-348.78-691.2</f>
        <v>-1039.98</v>
      </c>
      <c r="K58" s="6">
        <v>985.66</v>
      </c>
      <c r="L58" s="6">
        <v>467.35999999999996</v>
      </c>
      <c r="U58" s="5">
        <f t="shared" si="0"/>
        <v>0</v>
      </c>
    </row>
    <row r="59" spans="1:21" x14ac:dyDescent="0.2">
      <c r="A59" s="2" t="s">
        <v>56</v>
      </c>
      <c r="B59" s="6">
        <v>4468.6499999999996</v>
      </c>
      <c r="F59" s="2"/>
      <c r="T59" s="6">
        <v>4468.6499999999996</v>
      </c>
      <c r="U59" s="5">
        <f t="shared" si="0"/>
        <v>0</v>
      </c>
    </row>
    <row r="60" spans="1:21" x14ac:dyDescent="0.2">
      <c r="A60" s="2" t="s">
        <v>57</v>
      </c>
      <c r="B60" s="6">
        <v>334808.48</v>
      </c>
      <c r="D60" s="6">
        <v>59307.779999999722</v>
      </c>
      <c r="E60" s="6">
        <v>143251.89999999982</v>
      </c>
      <c r="F60" s="6">
        <f>-5865.62+59517.43</f>
        <v>53651.81</v>
      </c>
      <c r="G60" s="6">
        <v>18702.550000000003</v>
      </c>
      <c r="H60" s="6">
        <f>996+43006.28</f>
        <v>44002.28</v>
      </c>
      <c r="I60" s="6">
        <v>1805.1300000000006</v>
      </c>
      <c r="K60" s="6">
        <v>8338.760000000002</v>
      </c>
      <c r="L60" s="6">
        <v>2638.59</v>
      </c>
      <c r="M60" s="6">
        <v>2430</v>
      </c>
      <c r="N60" s="6">
        <v>679.68</v>
      </c>
      <c r="U60" s="5">
        <f t="shared" si="0"/>
        <v>4.6566128730773926E-10</v>
      </c>
    </row>
    <row r="61" spans="1:21" x14ac:dyDescent="0.2">
      <c r="A61" s="2" t="s">
        <v>58</v>
      </c>
      <c r="B61" s="6">
        <v>118853.95</v>
      </c>
      <c r="D61" s="6">
        <v>9472.59</v>
      </c>
      <c r="E61" s="6">
        <v>58015.639999999927</v>
      </c>
      <c r="F61" s="6">
        <f>-112.56+15885.87</f>
        <v>15773.310000000001</v>
      </c>
      <c r="G61" s="6">
        <v>4183.63</v>
      </c>
      <c r="H61" s="6">
        <f>-536.24+536.24</f>
        <v>0</v>
      </c>
      <c r="I61" s="6">
        <v>765.32</v>
      </c>
      <c r="J61" s="6">
        <v>242.64</v>
      </c>
      <c r="K61" s="6">
        <v>1382.19</v>
      </c>
      <c r="L61" s="6">
        <v>1790.9499999999998</v>
      </c>
      <c r="M61" s="6">
        <v>27227.680000000022</v>
      </c>
      <c r="U61" s="5">
        <f t="shared" si="0"/>
        <v>0</v>
      </c>
    </row>
    <row r="62" spans="1:21" x14ac:dyDescent="0.2">
      <c r="A62" s="2" t="s">
        <v>59</v>
      </c>
      <c r="B62" s="6">
        <f>209.38+5642.91</f>
        <v>5852.29</v>
      </c>
      <c r="D62" s="6">
        <v>1803.3700000000003</v>
      </c>
      <c r="E62" s="6">
        <v>236.33999999999997</v>
      </c>
      <c r="F62" s="6">
        <f>-437.43+290.82</f>
        <v>-146.61000000000001</v>
      </c>
      <c r="G62" s="6">
        <v>1335.4199999999992</v>
      </c>
      <c r="I62" s="6">
        <v>2626.7600000000007</v>
      </c>
      <c r="K62" s="6">
        <v>-2.9900000000000091</v>
      </c>
      <c r="U62" s="5">
        <f t="shared" si="0"/>
        <v>0</v>
      </c>
    </row>
    <row r="63" spans="1:21" x14ac:dyDescent="0.2">
      <c r="A63" s="2" t="s">
        <v>60</v>
      </c>
      <c r="B63" s="6">
        <v>2933.6900000000014</v>
      </c>
      <c r="D63" s="6">
        <v>-47.700000000001182</v>
      </c>
      <c r="F63" s="6">
        <f>-11313.12+12668.95</f>
        <v>1355.83</v>
      </c>
      <c r="G63" s="6">
        <v>178.27999999999975</v>
      </c>
      <c r="H63" s="6">
        <f>-857.75+857.75</f>
        <v>0</v>
      </c>
      <c r="I63" s="6">
        <v>619.5</v>
      </c>
      <c r="K63" s="6">
        <v>280.26</v>
      </c>
      <c r="M63" s="6">
        <v>547.5200000000001</v>
      </c>
      <c r="U63" s="5">
        <f t="shared" si="0"/>
        <v>0</v>
      </c>
    </row>
    <row r="64" spans="1:21" x14ac:dyDescent="0.2">
      <c r="A64" s="2" t="s">
        <v>61</v>
      </c>
      <c r="B64" s="6">
        <v>177842.58000000007</v>
      </c>
      <c r="D64" s="6">
        <v>5292.5199999999995</v>
      </c>
      <c r="E64" s="6">
        <v>10973.629999999997</v>
      </c>
      <c r="F64" s="6">
        <f>-4388.94+51687.74</f>
        <v>47298.799999999996</v>
      </c>
      <c r="G64" s="6">
        <v>40581.390000000014</v>
      </c>
      <c r="I64" s="6">
        <v>4882.93</v>
      </c>
      <c r="J64" s="6">
        <v>435.78999999999996</v>
      </c>
      <c r="K64" s="6">
        <v>1122.6699999999992</v>
      </c>
      <c r="L64" s="6">
        <v>1108.98</v>
      </c>
      <c r="O64" s="6">
        <f>42833.79-5038.85-1690.71</f>
        <v>36104.230000000003</v>
      </c>
      <c r="S64" s="6">
        <v>-140.1</v>
      </c>
      <c r="T64" s="6">
        <f>19039.89+11141.85</f>
        <v>30181.739999999998</v>
      </c>
      <c r="U64" s="5">
        <f t="shared" ref="U64:U79" si="1">B64-SUM(D64:T64)</f>
        <v>0</v>
      </c>
    </row>
    <row r="65" spans="1:21" x14ac:dyDescent="0.2">
      <c r="A65" s="2" t="s">
        <v>62</v>
      </c>
      <c r="B65" s="6">
        <v>130948.5499999999</v>
      </c>
      <c r="D65" s="6">
        <v>45026.76999999996</v>
      </c>
      <c r="E65" s="6">
        <v>6384.9500000000062</v>
      </c>
      <c r="F65" s="6">
        <f>-22682.84+85661.46</f>
        <v>62978.62000000001</v>
      </c>
      <c r="G65" s="6">
        <v>701.25</v>
      </c>
      <c r="H65" s="6">
        <f>-256.13+2259.3</f>
        <v>2003.17</v>
      </c>
      <c r="I65" s="6">
        <v>2851.4800000000005</v>
      </c>
      <c r="J65" s="6">
        <v>113.55999999999995</v>
      </c>
      <c r="K65" s="6">
        <v>284.51000000000016</v>
      </c>
      <c r="L65" s="6">
        <v>1624.3300000000002</v>
      </c>
      <c r="M65" s="6">
        <v>8722.57</v>
      </c>
      <c r="N65" s="6">
        <f>256.11-256.13</f>
        <v>-1.999999999998181E-2</v>
      </c>
      <c r="S65" s="6">
        <f>853.74-596.38</f>
        <v>257.36</v>
      </c>
      <c r="U65" s="5">
        <f t="shared" si="1"/>
        <v>0</v>
      </c>
    </row>
    <row r="66" spans="1:21" x14ac:dyDescent="0.2">
      <c r="A66" s="2" t="s">
        <v>94</v>
      </c>
      <c r="B66" s="6">
        <v>15482.54</v>
      </c>
      <c r="D66" s="6">
        <v>2452.8000000000002</v>
      </c>
      <c r="E66" s="6">
        <v>1146.29</v>
      </c>
      <c r="F66" s="6">
        <v>495.46</v>
      </c>
      <c r="G66" s="6">
        <v>284.74</v>
      </c>
      <c r="H66" s="6">
        <f>386.08+667.92</f>
        <v>1054</v>
      </c>
      <c r="I66" s="6">
        <v>472.97999999999996</v>
      </c>
      <c r="J66" s="6">
        <v>385.68</v>
      </c>
      <c r="K66" s="6">
        <v>6941.34</v>
      </c>
      <c r="L66" s="6">
        <v>105.36</v>
      </c>
      <c r="M66" s="6">
        <v>594.24</v>
      </c>
      <c r="O66" s="6">
        <f>189.91+185.7</f>
        <v>375.61</v>
      </c>
      <c r="S66" s="6">
        <f>621.42+552.62</f>
        <v>1174.04</v>
      </c>
      <c r="U66" s="5">
        <f t="shared" si="1"/>
        <v>0</v>
      </c>
    </row>
    <row r="67" spans="1:21" x14ac:dyDescent="0.2">
      <c r="A67" s="2" t="s">
        <v>63</v>
      </c>
      <c r="B67" s="6">
        <v>283946.94000000029</v>
      </c>
      <c r="D67" s="6">
        <v>61802.150000001529</v>
      </c>
      <c r="E67" s="6">
        <v>51743.550000000192</v>
      </c>
      <c r="F67" s="6">
        <f>-201559.34+282860.66</f>
        <v>81301.319999999978</v>
      </c>
      <c r="G67" s="6">
        <v>21455.899999999794</v>
      </c>
      <c r="H67" s="6">
        <f>-47545.21-2763.61+53892.53</f>
        <v>3583.7099999999991</v>
      </c>
      <c r="I67" s="6">
        <v>4730.6399999999139</v>
      </c>
      <c r="J67" s="6">
        <v>1355.5500000000079</v>
      </c>
      <c r="K67" s="6">
        <v>19789.19000000001</v>
      </c>
      <c r="L67" s="6">
        <v>6699.849999999924</v>
      </c>
      <c r="M67" s="6">
        <v>10237.87000000001</v>
      </c>
      <c r="N67" s="6">
        <f>779.37-767.24</f>
        <v>12.129999999999995</v>
      </c>
      <c r="S67" s="6">
        <f>65892.26-45636.19</f>
        <v>20256.069999999992</v>
      </c>
      <c r="T67" s="6">
        <v>979.01</v>
      </c>
      <c r="U67" s="5">
        <f t="shared" si="1"/>
        <v>-1.1059455573558807E-9</v>
      </c>
    </row>
    <row r="68" spans="1:21" x14ac:dyDescent="0.2">
      <c r="A68" s="2" t="s">
        <v>64</v>
      </c>
      <c r="B68" s="6">
        <v>534717.05000000005</v>
      </c>
      <c r="D68" s="6">
        <v>169557.55000000002</v>
      </c>
      <c r="E68" s="6">
        <v>125664.40999999971</v>
      </c>
      <c r="F68" s="6">
        <f>-12626.29+56302.43</f>
        <v>43676.14</v>
      </c>
      <c r="G68" s="6">
        <v>39504.899999999936</v>
      </c>
      <c r="H68" s="6">
        <f>178.26+18225.92</f>
        <v>18404.179999999997</v>
      </c>
      <c r="I68" s="6">
        <v>21282.029999999933</v>
      </c>
      <c r="J68" s="6">
        <v>8155.130000000001</v>
      </c>
      <c r="K68" s="6">
        <v>46931.23000000004</v>
      </c>
      <c r="L68" s="6">
        <v>26062.969999999968</v>
      </c>
      <c r="M68" s="6">
        <v>10468.320000000003</v>
      </c>
      <c r="N68" s="6">
        <v>256.11</v>
      </c>
      <c r="O68" s="6">
        <f>7105.62-922.09</f>
        <v>6183.53</v>
      </c>
      <c r="S68" s="6">
        <f>17561.94+1008.61</f>
        <v>18570.55</v>
      </c>
      <c r="U68" s="5">
        <f t="shared" si="1"/>
        <v>0</v>
      </c>
    </row>
    <row r="69" spans="1:21" x14ac:dyDescent="0.2">
      <c r="A69" s="2" t="s">
        <v>65</v>
      </c>
      <c r="B69" s="6">
        <v>-105.36</v>
      </c>
      <c r="E69" s="6">
        <v>-105.36</v>
      </c>
      <c r="U69" s="5">
        <f t="shared" si="1"/>
        <v>0</v>
      </c>
    </row>
    <row r="70" spans="1:21" x14ac:dyDescent="0.2">
      <c r="A70" s="2" t="s">
        <v>66</v>
      </c>
      <c r="B70" s="6">
        <v>286520.03000000003</v>
      </c>
      <c r="D70" s="6">
        <v>109153.77999999966</v>
      </c>
      <c r="E70" s="6">
        <v>162982.13000000041</v>
      </c>
      <c r="F70" s="6">
        <f>-18267.66+13003.45</f>
        <v>-5264.2099999999991</v>
      </c>
      <c r="G70" s="6">
        <v>10420.040000000001</v>
      </c>
      <c r="H70" s="6">
        <v>192.84</v>
      </c>
      <c r="I70" s="6">
        <v>896.8400000000006</v>
      </c>
      <c r="J70" s="6">
        <v>217.92</v>
      </c>
      <c r="L70" s="6">
        <v>3208.5899999999997</v>
      </c>
      <c r="M70" s="6">
        <v>7.0200000000004366</v>
      </c>
      <c r="O70" s="6">
        <f>657.11-649.36</f>
        <v>7.75</v>
      </c>
      <c r="Q70" s="6">
        <v>878.76</v>
      </c>
      <c r="S70" s="6">
        <f>3893.19-74.62</f>
        <v>3818.57</v>
      </c>
      <c r="U70" s="5">
        <f t="shared" si="1"/>
        <v>0</v>
      </c>
    </row>
    <row r="71" spans="1:21" x14ac:dyDescent="0.2">
      <c r="A71" s="2" t="s">
        <v>67</v>
      </c>
      <c r="B71" s="6">
        <v>534815.72</v>
      </c>
      <c r="D71" s="6">
        <v>39787.579999999987</v>
      </c>
      <c r="E71" s="6">
        <v>8.040000000000191</v>
      </c>
      <c r="F71" s="6">
        <f>-74296.16+537327.31</f>
        <v>463031.15</v>
      </c>
      <c r="I71" s="6">
        <v>4940.5800000000008</v>
      </c>
      <c r="M71" s="6">
        <v>27048.370000000014</v>
      </c>
      <c r="U71" s="5">
        <f t="shared" si="1"/>
        <v>0</v>
      </c>
    </row>
    <row r="72" spans="1:21" x14ac:dyDescent="0.2">
      <c r="A72" s="2" t="s">
        <v>90</v>
      </c>
      <c r="B72" s="6">
        <f>-27939.49+180079.15</f>
        <v>152139.66</v>
      </c>
      <c r="D72" s="6">
        <v>34196.429999999957</v>
      </c>
      <c r="E72" s="6">
        <v>54351.619999999944</v>
      </c>
      <c r="F72" s="6">
        <f>-14388.6+61978.7</f>
        <v>47590.1</v>
      </c>
      <c r="G72" s="6">
        <v>13956.33</v>
      </c>
      <c r="H72" s="6">
        <f>442.49+185.7</f>
        <v>628.19000000000005</v>
      </c>
      <c r="I72" s="6">
        <v>463.59</v>
      </c>
      <c r="K72" s="6">
        <v>-4.2099999999999795</v>
      </c>
      <c r="L72" s="6">
        <v>575.62</v>
      </c>
      <c r="S72" s="6">
        <v>381.99</v>
      </c>
      <c r="U72" s="5">
        <f t="shared" si="1"/>
        <v>0</v>
      </c>
    </row>
    <row r="73" spans="1:21" x14ac:dyDescent="0.2">
      <c r="A73" s="2" t="s">
        <v>68</v>
      </c>
      <c r="B73" s="6">
        <v>833058.56</v>
      </c>
      <c r="D73" s="6">
        <v>172194.04000000047</v>
      </c>
      <c r="E73" s="6">
        <v>259724.83000000159</v>
      </c>
      <c r="F73" s="6">
        <f>-18144.48-6595.91+198127.05</f>
        <v>173386.65999999997</v>
      </c>
      <c r="G73" s="6">
        <v>114490.08999999972</v>
      </c>
      <c r="H73" s="6">
        <f>206.12-998.37+16271.27</f>
        <v>15479.02</v>
      </c>
      <c r="I73" s="6">
        <v>27949.619999999955</v>
      </c>
      <c r="J73" s="6">
        <v>5241.6799999999994</v>
      </c>
      <c r="K73" s="6">
        <v>17452.099999999991</v>
      </c>
      <c r="L73" s="6">
        <v>25284.759999999991</v>
      </c>
      <c r="M73" s="6">
        <v>16613.360000000004</v>
      </c>
      <c r="O73" s="6">
        <f>819.18-247.6</f>
        <v>571.57999999999993</v>
      </c>
      <c r="Q73" s="6">
        <v>965.52</v>
      </c>
      <c r="S73" s="6">
        <f>7477.79-3473.23-299.26</f>
        <v>3705.3</v>
      </c>
      <c r="U73" s="5">
        <f t="shared" si="1"/>
        <v>-1.862645149230957E-9</v>
      </c>
    </row>
    <row r="74" spans="1:21" x14ac:dyDescent="0.2">
      <c r="A74" s="2" t="s">
        <v>95</v>
      </c>
      <c r="B74" s="6">
        <v>-1936.0500000000002</v>
      </c>
      <c r="F74" s="6">
        <v>-1936.0500000000002</v>
      </c>
      <c r="U74" s="5">
        <f t="shared" si="1"/>
        <v>0</v>
      </c>
    </row>
    <row r="75" spans="1:21" x14ac:dyDescent="0.2">
      <c r="A75" s="2" t="s">
        <v>69</v>
      </c>
      <c r="B75" s="6">
        <v>95120.49999999952</v>
      </c>
      <c r="D75" s="6">
        <v>18798.529999999962</v>
      </c>
      <c r="E75" s="6">
        <v>45512.689999999915</v>
      </c>
      <c r="F75" s="6">
        <f>-436.42-4688.6+6880.62</f>
        <v>1755.5999999999995</v>
      </c>
      <c r="G75" s="6">
        <v>3552.34</v>
      </c>
      <c r="H75" s="6">
        <f>-342.51+359.02</f>
        <v>16.509999999999991</v>
      </c>
      <c r="I75" s="6">
        <v>2452.8800000000024</v>
      </c>
      <c r="J75" s="6">
        <v>297.26</v>
      </c>
      <c r="K75" s="6">
        <v>-3.0300000000000011</v>
      </c>
      <c r="L75" s="6">
        <v>1608.9399999999991</v>
      </c>
      <c r="M75" s="6">
        <v>0</v>
      </c>
      <c r="Q75" s="6">
        <v>369.61</v>
      </c>
      <c r="R75" s="6">
        <v>10268.5</v>
      </c>
      <c r="S75" s="6">
        <f>11413.75-923.08</f>
        <v>10490.67</v>
      </c>
      <c r="U75" s="5">
        <f t="shared" si="1"/>
        <v>-3.4924596548080444E-10</v>
      </c>
    </row>
    <row r="76" spans="1:21" x14ac:dyDescent="0.2">
      <c r="A76" s="2" t="s">
        <v>70</v>
      </c>
      <c r="B76" s="6">
        <v>29805.679999999997</v>
      </c>
      <c r="D76" s="6">
        <v>6751.1799999999985</v>
      </c>
      <c r="E76" s="6">
        <v>20758.409999999996</v>
      </c>
      <c r="F76" s="6">
        <f>-1169.4+2569.24</f>
        <v>1399.8399999999997</v>
      </c>
      <c r="H76" s="6">
        <f>-217.92+217.92</f>
        <v>0</v>
      </c>
      <c r="K76" s="6">
        <v>478.68</v>
      </c>
      <c r="O76" s="6">
        <v>428.75</v>
      </c>
      <c r="S76" s="6">
        <f>1221.66-1232.84</f>
        <v>-11.179999999999836</v>
      </c>
      <c r="U76" s="5">
        <f t="shared" si="1"/>
        <v>0</v>
      </c>
    </row>
    <row r="77" spans="1:21" x14ac:dyDescent="0.2">
      <c r="A77" s="2" t="s">
        <v>71</v>
      </c>
      <c r="B77" s="6">
        <v>-7508.6800000000021</v>
      </c>
      <c r="D77" s="6">
        <v>-2769.3</v>
      </c>
      <c r="E77" s="6">
        <v>-2096.4999999999986</v>
      </c>
      <c r="F77" s="6">
        <v>-2940</v>
      </c>
      <c r="H77" s="6">
        <v>297.12</v>
      </c>
      <c r="U77" s="5">
        <f t="shared" si="1"/>
        <v>0</v>
      </c>
    </row>
    <row r="78" spans="1:21" x14ac:dyDescent="0.2">
      <c r="A78" s="2" t="s">
        <v>72</v>
      </c>
      <c r="B78" s="6">
        <v>213738.38999999859</v>
      </c>
      <c r="D78" s="6">
        <v>26996.399999999994</v>
      </c>
      <c r="E78" s="6">
        <v>3747.33</v>
      </c>
      <c r="F78" s="6">
        <f>-50195.36+217902.74</f>
        <v>167707.38</v>
      </c>
      <c r="G78" s="6">
        <v>4172.3100000000004</v>
      </c>
      <c r="K78" s="6">
        <v>284.44</v>
      </c>
      <c r="L78" s="6">
        <v>10380.61</v>
      </c>
      <c r="O78" s="6">
        <v>449.92</v>
      </c>
      <c r="U78" s="5">
        <f t="shared" si="1"/>
        <v>-1.3969838619232178E-9</v>
      </c>
    </row>
    <row r="79" spans="1:21" x14ac:dyDescent="0.2">
      <c r="A79" s="2" t="s">
        <v>73</v>
      </c>
      <c r="B79" s="6">
        <v>269231.97000000073</v>
      </c>
      <c r="D79" s="6">
        <v>121622.82999999974</v>
      </c>
      <c r="E79" s="6">
        <v>14309.889999999996</v>
      </c>
      <c r="F79" s="6">
        <f>-26804.33+133936.83</f>
        <v>107132.49999999999</v>
      </c>
      <c r="G79" s="6">
        <v>9998.14</v>
      </c>
      <c r="I79" s="6">
        <v>6913.9</v>
      </c>
      <c r="L79" s="6">
        <v>3650.0099999999984</v>
      </c>
      <c r="M79" s="6">
        <v>1659.35</v>
      </c>
      <c r="R79" s="6">
        <v>3813.6500000000015</v>
      </c>
      <c r="T79" s="6">
        <f>43.9+87.8</f>
        <v>131.69999999999999</v>
      </c>
      <c r="U79" s="5">
        <f t="shared" si="1"/>
        <v>9.8953023552894592E-10</v>
      </c>
    </row>
    <row r="81" spans="1:21" x14ac:dyDescent="0.2">
      <c r="B81" s="8">
        <f>SUM(B5:B79)</f>
        <v>15416325.07</v>
      </c>
      <c r="D81" s="8">
        <f t="shared" ref="D81:U81" si="2">SUM(D5:D79)</f>
        <v>3204285.6700000288</v>
      </c>
      <c r="E81" s="8">
        <f t="shared" si="2"/>
        <v>2171763.4499999993</v>
      </c>
      <c r="F81" s="8">
        <f t="shared" si="2"/>
        <v>4570239.8999999994</v>
      </c>
      <c r="G81" s="8">
        <f t="shared" si="2"/>
        <v>1641492.8199999998</v>
      </c>
      <c r="H81" s="8">
        <f t="shared" si="2"/>
        <v>458942.56</v>
      </c>
      <c r="I81" s="8">
        <f t="shared" si="2"/>
        <v>433520.61999999959</v>
      </c>
      <c r="J81" s="8">
        <f t="shared" si="2"/>
        <v>87778.569999999978</v>
      </c>
      <c r="K81" s="8">
        <f t="shared" si="2"/>
        <v>710564.99999999977</v>
      </c>
      <c r="L81" s="8">
        <f t="shared" si="2"/>
        <v>522866.79999999964</v>
      </c>
      <c r="M81" s="8">
        <f t="shared" si="2"/>
        <v>519652.79999999993</v>
      </c>
      <c r="N81" s="8">
        <f t="shared" si="2"/>
        <v>1924.0400000000004</v>
      </c>
      <c r="O81" s="8">
        <f t="shared" si="2"/>
        <v>139126.89999999997</v>
      </c>
      <c r="P81" s="8">
        <f t="shared" si="2"/>
        <v>418385.19999999925</v>
      </c>
      <c r="Q81" s="8">
        <f t="shared" si="2"/>
        <v>4407.8700000000008</v>
      </c>
      <c r="R81" s="8">
        <f t="shared" si="2"/>
        <v>173053.44000000053</v>
      </c>
      <c r="S81" s="8">
        <f t="shared" si="2"/>
        <v>223371.45999999993</v>
      </c>
      <c r="T81" s="8">
        <f t="shared" si="2"/>
        <v>134947.97000000003</v>
      </c>
      <c r="U81" s="8">
        <f t="shared" si="2"/>
        <v>-3.0937371775507927E-8</v>
      </c>
    </row>
    <row r="83" spans="1:21" x14ac:dyDescent="0.2">
      <c r="A83" s="2" t="s">
        <v>124</v>
      </c>
      <c r="B83" s="6">
        <f>15558771.07-142446</f>
        <v>15416325.07</v>
      </c>
      <c r="D83" s="6">
        <v>3204285.6700000297</v>
      </c>
      <c r="E83" s="6">
        <f>2171689.05+74.4</f>
        <v>2171763.4499999997</v>
      </c>
      <c r="F83" s="6">
        <f>4570314.3-74.4</f>
        <v>4570239.8999999994</v>
      </c>
      <c r="G83" s="6">
        <f>1631665.93+9826.89</f>
        <v>1641492.8199999998</v>
      </c>
      <c r="H83" s="6">
        <v>458942.56</v>
      </c>
      <c r="I83" s="6">
        <v>433520.61999999976</v>
      </c>
      <c r="J83" s="6">
        <v>87778.570000000022</v>
      </c>
      <c r="K83" s="6">
        <v>710564.99999999977</v>
      </c>
      <c r="L83" s="6">
        <v>522866.79999999912</v>
      </c>
      <c r="M83" s="6">
        <v>519652.80000000109</v>
      </c>
      <c r="N83" s="6">
        <v>1924.04</v>
      </c>
      <c r="O83" s="6">
        <v>139126.89999999991</v>
      </c>
      <c r="P83" s="6">
        <v>418385.20000000094</v>
      </c>
      <c r="Q83" s="6">
        <v>4407.8700000000008</v>
      </c>
      <c r="R83" s="6">
        <v>173053.44000000003</v>
      </c>
      <c r="S83" s="6">
        <v>223371.45999999979</v>
      </c>
      <c r="T83" s="6">
        <f>287220.86-9826.89-142446</f>
        <v>134947.96999999997</v>
      </c>
      <c r="U83" s="5">
        <f>B83-SUM(D83:T83)</f>
        <v>-2.7939677238464355E-8</v>
      </c>
    </row>
    <row r="85" spans="1:21" x14ac:dyDescent="0.2">
      <c r="B85" s="6">
        <f>B83-B81</f>
        <v>0</v>
      </c>
      <c r="K85" s="6">
        <f>K83-K81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SharedWithUsers xmlns="ad647b8f-8239-4126-8166-9dee6ee1e4e3">
      <UserInfo>
        <DisplayName/>
        <AccountId xsi:nil="true"/>
        <AccountType/>
      </UserInfo>
    </SharedWithUsers>
    <lcf76f155ced4ddcb4097134ff3c332f xmlns="c77926f6-2acc-4ae9-a524-6f86b1b56a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B40312-081C-4F0C-8F50-21419462284F}">
  <ds:schemaRefs>
    <ds:schemaRef ds:uri="http://schemas.microsoft.com/office/2006/metadata/properties"/>
    <ds:schemaRef ds:uri="http://schemas.microsoft.com/office/infopath/2007/PartnerControls"/>
    <ds:schemaRef ds:uri="bf64e386-75fd-4ca0-8d7f-19d52bbf49c3"/>
    <ds:schemaRef ds:uri="073be285-2862-4e40-b6df-3a633e5c6d27"/>
  </ds:schemaRefs>
</ds:datastoreItem>
</file>

<file path=customXml/itemProps2.xml><?xml version="1.0" encoding="utf-8"?>
<ds:datastoreItem xmlns:ds="http://schemas.openxmlformats.org/officeDocument/2006/customXml" ds:itemID="{DE7FA18C-719C-48A4-A274-52B3AE779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1050F7-ABA8-40B6-A456-606AF772A0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Estelle Evans</cp:lastModifiedBy>
  <cp:revision/>
  <dcterms:created xsi:type="dcterms:W3CDTF">2023-03-06T15:30:50Z</dcterms:created>
  <dcterms:modified xsi:type="dcterms:W3CDTF">2023-03-20T14:31:15Z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44600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